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4" activeTab="6"/>
  </bookViews>
  <sheets>
    <sheet name="РЖ ЛЮБ 35кг" sheetId="1" r:id="rId1"/>
    <sheet name="РЖ ЛЮБ 55кг" sheetId="2" r:id="rId2"/>
    <sheet name="РЖ ЛЮБ 75кг" sheetId="3" r:id="rId3"/>
    <sheet name="НАР ЛЮБ 0,5 веса" sheetId="4" r:id="rId4"/>
    <sheet name="НАР ЛЮБ 1 вес" sheetId="5" r:id="rId5"/>
    <sheet name="НАР ПРО 1 вес" sheetId="6" r:id="rId6"/>
    <sheet name="ЖИМ ЛЮБ" sheetId="7" r:id="rId7"/>
    <sheet name="ЖИМ ПРО" sheetId="8" r:id="rId8"/>
    <sheet name="СТАНОВАЯ ЛЮБ" sheetId="9" r:id="rId9"/>
    <sheet name="СТАНОВАЯ ПРО" sheetId="10" r:id="rId10"/>
  </sheets>
  <definedNames/>
  <calcPr fullCalcOnLoad="1" refMode="R1C1"/>
</workbook>
</file>

<file path=xl/sharedStrings.xml><?xml version="1.0" encoding="utf-8"?>
<sst xmlns="http://schemas.openxmlformats.org/spreadsheetml/2006/main" count="2140" uniqueCount="745">
  <si>
    <t>ФИО</t>
  </si>
  <si>
    <t>Тренер</t>
  </si>
  <si>
    <t>Очки</t>
  </si>
  <si>
    <t>Команда</t>
  </si>
  <si>
    <t>Возрастная группа
Дата рождения/Возраст</t>
  </si>
  <si>
    <t>Собственный 
Вес</t>
  </si>
  <si>
    <t>Город/Область</t>
  </si>
  <si>
    <t>Битва Варягов (Русский жим)
Русский жим любители 35 кг.
Омск/Омская область декабря 2018 г.</t>
  </si>
  <si>
    <t>Атлетизм</t>
  </si>
  <si>
    <t>ВЕСОВАЯ КАТЕГОРИЯ   All</t>
  </si>
  <si>
    <t>Жарова Виктория</t>
  </si>
  <si>
    <t>1. Жарова Виктория</t>
  </si>
  <si>
    <t>Открытая (12.03.1981)/37</t>
  </si>
  <si>
    <t>55,40</t>
  </si>
  <si>
    <t xml:space="preserve">лично </t>
  </si>
  <si>
    <t xml:space="preserve">Омск/Омская область </t>
  </si>
  <si>
    <t>35,0</t>
  </si>
  <si>
    <t>33,0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</si>
  <si>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</si>
  <si>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</si>
  <si>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</si>
  <si>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</si>
  <si>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</si>
  <si>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</si>
  <si>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</si>
  <si>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</si>
  <si>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</si>
  <si>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</si>
  <si>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</si>
  <si>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</si>
  <si>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</si>
  <si>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Атлетизм </t>
  </si>
  <si>
    <t>All</t>
  </si>
  <si>
    <t>1155,0</t>
  </si>
  <si>
    <t>20,8483</t>
  </si>
  <si>
    <t>Жим мн. повт.</t>
  </si>
  <si>
    <t>Вес</t>
  </si>
  <si>
    <t>Повторы</t>
  </si>
  <si>
    <t>Тоннаж</t>
  </si>
  <si>
    <t>Битва Варягов (Русский жим)
Русский жим любители 55 кг.
Омск/Омская область декабря 2018 г.</t>
  </si>
  <si>
    <t>1. Елкин Андрей</t>
  </si>
  <si>
    <t>Юниоры 20 - 23 (29.04.1997)/21</t>
  </si>
  <si>
    <t>81,10</t>
  </si>
  <si>
    <t>55,0</t>
  </si>
  <si>
    <t>66,0</t>
  </si>
  <si>
    <t>Юниоры 20 - 23 (15.10.1997)/21</t>
  </si>
  <si>
    <t>87,30</t>
  </si>
  <si>
    <t>59,0</t>
  </si>
  <si>
    <t>Юниоры 20 - 23 (03.02.1998)/20</t>
  </si>
  <si>
    <t>74,70</t>
  </si>
  <si>
    <t>51,0</t>
  </si>
  <si>
    <t>Юниоры 20 - 23 (14.07.1997)/21</t>
  </si>
  <si>
    <t>65,65</t>
  </si>
  <si>
    <t>43,0</t>
  </si>
  <si>
    <t>Юниоры 20 - 23 (30.03.1995)/23</t>
  </si>
  <si>
    <t>74,10</t>
  </si>
  <si>
    <t>38,0</t>
  </si>
  <si>
    <t>1. Дементьев Константин</t>
  </si>
  <si>
    <t>Открытая (05.02.1993)/25</t>
  </si>
  <si>
    <t>80,90</t>
  </si>
  <si>
    <t>2. Стаценко Павел</t>
  </si>
  <si>
    <t>Открытая (22.01.1987)/31</t>
  </si>
  <si>
    <t>90,00</t>
  </si>
  <si>
    <t>58,0</t>
  </si>
  <si>
    <t>Открытая (26.03.1986)/32</t>
  </si>
  <si>
    <t>91,00</t>
  </si>
  <si>
    <t>56,0</t>
  </si>
  <si>
    <t>Открытая (24.04.1988)/30</t>
  </si>
  <si>
    <t>106,50</t>
  </si>
  <si>
    <t>Открытая (08.10.1979)/39</t>
  </si>
  <si>
    <t>80,80</t>
  </si>
  <si>
    <t>54,0</t>
  </si>
  <si>
    <t>Открытая (14.06.1983)/35</t>
  </si>
  <si>
    <t>66,90</t>
  </si>
  <si>
    <t>47,0</t>
  </si>
  <si>
    <t>Открытая (21.12.1985)/32</t>
  </si>
  <si>
    <t>86,60</t>
  </si>
  <si>
    <t>1. Сатышев Илдар</t>
  </si>
  <si>
    <t>Мастера 40 - 44 (20.09.1977)/41</t>
  </si>
  <si>
    <t>80,20</t>
  </si>
  <si>
    <t xml:space="preserve">Мужчины </t>
  </si>
  <si>
    <t xml:space="preserve">Юниоры </t>
  </si>
  <si>
    <t>Елкин Андрей</t>
  </si>
  <si>
    <t xml:space="preserve">Юниоры 20 - 23 </t>
  </si>
  <si>
    <t>3630,0</t>
  </si>
  <si>
    <t>44,7595</t>
  </si>
  <si>
    <t>Пашанин Александр</t>
  </si>
  <si>
    <t>2805,0</t>
  </si>
  <si>
    <t>37,5502</t>
  </si>
  <si>
    <t>Насыров Артем</t>
  </si>
  <si>
    <t>3245,0</t>
  </si>
  <si>
    <t>37,1706</t>
  </si>
  <si>
    <t>Самохин Владимир</t>
  </si>
  <si>
    <t>2365,0</t>
  </si>
  <si>
    <t>36,0243</t>
  </si>
  <si>
    <t>Колодзинский Лев</t>
  </si>
  <si>
    <t>2090,0</t>
  </si>
  <si>
    <t>28,2051</t>
  </si>
  <si>
    <t>Дементьев Константин</t>
  </si>
  <si>
    <t>40,1112</t>
  </si>
  <si>
    <t>Михайлов Александр</t>
  </si>
  <si>
    <t>2585,0</t>
  </si>
  <si>
    <t>38,6397</t>
  </si>
  <si>
    <t>Жаров Дмитрий</t>
  </si>
  <si>
    <t>2970,0</t>
  </si>
  <si>
    <t>36,7574</t>
  </si>
  <si>
    <t>Стаценко Павел</t>
  </si>
  <si>
    <t>3190,0</t>
  </si>
  <si>
    <t>35,4444</t>
  </si>
  <si>
    <t>Киргизов Иван</t>
  </si>
  <si>
    <t>3080,0</t>
  </si>
  <si>
    <t>33,8461</t>
  </si>
  <si>
    <t>Елисеев Евгений</t>
  </si>
  <si>
    <t>28,9201</t>
  </si>
  <si>
    <t>Фадин Антон</t>
  </si>
  <si>
    <t>1925,0</t>
  </si>
  <si>
    <t>22,2286</t>
  </si>
  <si>
    <t xml:space="preserve">Мастера </t>
  </si>
  <si>
    <t>Сатышев Илдар</t>
  </si>
  <si>
    <t xml:space="preserve">Мастера 40 - 44 </t>
  </si>
  <si>
    <t>29,4887</t>
  </si>
  <si>
    <t>Битва Варягов (Русский жим)
Русский жим любители 75 кг.
Омск/Омская область декабря 2018 г.</t>
  </si>
  <si>
    <t>1. Ащербагин Азат</t>
  </si>
  <si>
    <t>Юниоры 20 - 23 (24.07.1995)/23</t>
  </si>
  <si>
    <t>75,0</t>
  </si>
  <si>
    <t>1. Усачев Виктор</t>
  </si>
  <si>
    <t>Мастера 60 - 64 (07.11.1956)/62</t>
  </si>
  <si>
    <t>74,30</t>
  </si>
  <si>
    <t>17,0</t>
  </si>
  <si>
    <t>Ащербагин Азат</t>
  </si>
  <si>
    <t>2850,0</t>
  </si>
  <si>
    <t>31,6666</t>
  </si>
  <si>
    <t xml:space="preserve">Мастера 60 - 64 </t>
  </si>
  <si>
    <t>Усачев Виктор</t>
  </si>
  <si>
    <t>1275,0</t>
  </si>
  <si>
    <t>17,1601</t>
  </si>
  <si>
    <t>Битва Варягов (Народный жим)
Любители народный жим (1/2 вес)
Омск/Омская область декабря 2018 г.</t>
  </si>
  <si>
    <t>НАП Н.Ж.</t>
  </si>
  <si>
    <t>ВЕСОВАЯ КАТЕГОРИЯ   48</t>
  </si>
  <si>
    <t>1. Рыбина Мария</t>
  </si>
  <si>
    <t>Открытая (01.10.1994)/24</t>
  </si>
  <si>
    <t>48,00</t>
  </si>
  <si>
    <t xml:space="preserve">Новосибирск/Новосибирская область </t>
  </si>
  <si>
    <t>25,0</t>
  </si>
  <si>
    <t xml:space="preserve">НАП Н.Ж. </t>
  </si>
  <si>
    <t>Рыбина Мария</t>
  </si>
  <si>
    <t>48,0</t>
  </si>
  <si>
    <t>875,0</t>
  </si>
  <si>
    <t>842,1875</t>
  </si>
  <si>
    <t>Битва Варягов (Народный жим)
Любители народный жим (1 вес)
Омск/Омская область декабря 2018 г.</t>
  </si>
  <si>
    <t>ВЕСОВАЯ КАТЕГОРИЯ   75</t>
  </si>
  <si>
    <t>1. Наговицын Дмитрий</t>
  </si>
  <si>
    <t>Юниоры 20 - 23 (20.09.1995)/23</t>
  </si>
  <si>
    <t>73,80</t>
  </si>
  <si>
    <t>21,0</t>
  </si>
  <si>
    <t>ВЕСОВАЯ КАТЕГОРИЯ   82.5</t>
  </si>
  <si>
    <t>1. Королев Дмитрий</t>
  </si>
  <si>
    <t>Открытая (16.07.1983)/35</t>
  </si>
  <si>
    <t>81,50</t>
  </si>
  <si>
    <t>82,5</t>
  </si>
  <si>
    <t>20,0</t>
  </si>
  <si>
    <t>2. Первушин Сергей</t>
  </si>
  <si>
    <t>Открытая (06.07.1987)/31</t>
  </si>
  <si>
    <t>82,20</t>
  </si>
  <si>
    <t>ВЕСОВАЯ КАТЕГОРИЯ   110</t>
  </si>
  <si>
    <t>1. Уланов Алексей</t>
  </si>
  <si>
    <t>Открытая (17.09.1991)/27</t>
  </si>
  <si>
    <t>107,30</t>
  </si>
  <si>
    <t>107,5</t>
  </si>
  <si>
    <t>13,0</t>
  </si>
  <si>
    <t>Наговицын Дмитрий</t>
  </si>
  <si>
    <t>1575,0</t>
  </si>
  <si>
    <t>1259,6850</t>
  </si>
  <si>
    <t>Королев Дмитрий</t>
  </si>
  <si>
    <t>1650,0</t>
  </si>
  <si>
    <t>1263,2400</t>
  </si>
  <si>
    <t>Первушин Сергей</t>
  </si>
  <si>
    <t>1402,5</t>
  </si>
  <si>
    <t>1064,6378</t>
  </si>
  <si>
    <t>Уланов Алексей</t>
  </si>
  <si>
    <t>110,0</t>
  </si>
  <si>
    <t>1397,5</t>
  </si>
  <si>
    <t>917,5985</t>
  </si>
  <si>
    <t>Битва Варягов (Народный жим)
Профессионалы народный жим (1 вес)
Омск/Омская область декабря 2018 г.</t>
  </si>
  <si>
    <t>ВЕСОВАЯ КАТЕГОРИЯ   90</t>
  </si>
  <si>
    <t>1. Кунаев Иван</t>
  </si>
  <si>
    <t>Открытая (22.01.1991)/27</t>
  </si>
  <si>
    <t>85,50</t>
  </si>
  <si>
    <t>87,5</t>
  </si>
  <si>
    <t>31,0</t>
  </si>
  <si>
    <t>Кунаев Иван</t>
  </si>
  <si>
    <t>90,0</t>
  </si>
  <si>
    <t>2712,5</t>
  </si>
  <si>
    <t>2037,9012</t>
  </si>
  <si>
    <t>Битва Варягов (становая/жим)
Любители жим лежа без экипировки
Омск/Омская область декабря 2018 г.</t>
  </si>
  <si>
    <t>Shv/Mel</t>
  </si>
  <si>
    <t>Жим лёжа</t>
  </si>
  <si>
    <t>Результат</t>
  </si>
  <si>
    <t>Рек</t>
  </si>
  <si>
    <t>1. Мишагина Елена</t>
  </si>
  <si>
    <t>Открытая (05.08.1988)/30</t>
  </si>
  <si>
    <t>46,70</t>
  </si>
  <si>
    <t>57,5</t>
  </si>
  <si>
    <t>-. Рыбина Мария</t>
  </si>
  <si>
    <t>45,0</t>
  </si>
  <si>
    <t>ВЕСОВАЯ КАТЕГОРИЯ   56</t>
  </si>
  <si>
    <t>1. Пушкарева Кристина</t>
  </si>
  <si>
    <t>Девушки 18 - 19 (23.01.2000)/18</t>
  </si>
  <si>
    <t>60,0</t>
  </si>
  <si>
    <t>65,0</t>
  </si>
  <si>
    <t>Открытая (23.01.2000)/18</t>
  </si>
  <si>
    <t>2. Пахомова Валерия</t>
  </si>
  <si>
    <t>Открытая (21.05.1987)/31</t>
  </si>
  <si>
    <t>55,90</t>
  </si>
  <si>
    <t>ВЕСОВАЯ КАТЕГОРИЯ   60</t>
  </si>
  <si>
    <t>1. Репетиева Евгения</t>
  </si>
  <si>
    <t>Открытая (23.02.1988)/30</t>
  </si>
  <si>
    <t>59,80</t>
  </si>
  <si>
    <t>50,0</t>
  </si>
  <si>
    <t>ВЕСОВАЯ КАТЕГОРИЯ   67.5</t>
  </si>
  <si>
    <t>1. Голубева Лидия</t>
  </si>
  <si>
    <t>Юниорки 20 - 23 (13.10.1995)/23</t>
  </si>
  <si>
    <t>72,5</t>
  </si>
  <si>
    <t>77,5</t>
  </si>
  <si>
    <t>1. Маркова Оксана</t>
  </si>
  <si>
    <t>Открытая (21.05.1975)/43</t>
  </si>
  <si>
    <t>62,80</t>
  </si>
  <si>
    <t>62,5</t>
  </si>
  <si>
    <t>67,5</t>
  </si>
  <si>
    <t>70,0</t>
  </si>
  <si>
    <t>Мастера 40 - 44 (21.05.1975)/43</t>
  </si>
  <si>
    <t>1. Корб Юрий</t>
  </si>
  <si>
    <t>Юноши 16 - 17 (09.09.2002)/16</t>
  </si>
  <si>
    <t>55,10</t>
  </si>
  <si>
    <t>1. Щелканов Максим</t>
  </si>
  <si>
    <t>Юноши 18 - 19 (15.05.1999)/19</t>
  </si>
  <si>
    <t>72,35</t>
  </si>
  <si>
    <t>107,0</t>
  </si>
  <si>
    <t>115,0</t>
  </si>
  <si>
    <t>122,5</t>
  </si>
  <si>
    <t>1. Пашанин Александр</t>
  </si>
  <si>
    <t>120,0</t>
  </si>
  <si>
    <t>125,0</t>
  </si>
  <si>
    <t>2. Наговицын Дмитрий</t>
  </si>
  <si>
    <t>1. Сибин Максим</t>
  </si>
  <si>
    <t>Открытая (23.02.1985)/33</t>
  </si>
  <si>
    <t>74,90</t>
  </si>
  <si>
    <t>140,0</t>
  </si>
  <si>
    <t>150,0</t>
  </si>
  <si>
    <t>1. Марков Иван</t>
  </si>
  <si>
    <t>Юноши 14-15 (26.03.2003)/15</t>
  </si>
  <si>
    <t>81,40</t>
  </si>
  <si>
    <t>105,0</t>
  </si>
  <si>
    <t>1. Плисов Максим</t>
  </si>
  <si>
    <t>Юниоры 20 - 23 (06.12.1994)/23</t>
  </si>
  <si>
    <t>80,70</t>
  </si>
  <si>
    <t>130,0</t>
  </si>
  <si>
    <t>147,5</t>
  </si>
  <si>
    <t>1. Луценко Дмитрий</t>
  </si>
  <si>
    <t>Открытая (16.12.1991)/26</t>
  </si>
  <si>
    <t>-. Поляев Александр</t>
  </si>
  <si>
    <t>Открытая (07.10.1988)/30</t>
  </si>
  <si>
    <t>165,0</t>
  </si>
  <si>
    <t>170,0</t>
  </si>
  <si>
    <t>1. Егоров Федор</t>
  </si>
  <si>
    <t>Мастера 40 - 44 (27.02.1977)/41</t>
  </si>
  <si>
    <t>79,50</t>
  </si>
  <si>
    <t>167,5</t>
  </si>
  <si>
    <t>172,5</t>
  </si>
  <si>
    <t>175,0</t>
  </si>
  <si>
    <t>1. Лыжин Игорь</t>
  </si>
  <si>
    <t>Мастера 55 - 59 (19.06.1959)/59</t>
  </si>
  <si>
    <t>81,60</t>
  </si>
  <si>
    <t>145,0</t>
  </si>
  <si>
    <t>152,5</t>
  </si>
  <si>
    <t>155,0</t>
  </si>
  <si>
    <t>160,0</t>
  </si>
  <si>
    <t>162,5</t>
  </si>
  <si>
    <t>2. Масёров Никита</t>
  </si>
  <si>
    <t>Юниоры 20 - 23 (07.09.1995)/23</t>
  </si>
  <si>
    <t>88,40</t>
  </si>
  <si>
    <t>3. Михеев Евгений</t>
  </si>
  <si>
    <t>Юниоры 20 - 23 (17.09.1997)/21</t>
  </si>
  <si>
    <t>89,20</t>
  </si>
  <si>
    <t>4. Расулов Руслан</t>
  </si>
  <si>
    <t>Юниоры 20 - 23 (01.08.1995)/23</t>
  </si>
  <si>
    <t>84,00</t>
  </si>
  <si>
    <t>135,0</t>
  </si>
  <si>
    <t>1. Шабалин Кирилл</t>
  </si>
  <si>
    <t>Открытая (14.12.1993)/24</t>
  </si>
  <si>
    <t>88,80</t>
  </si>
  <si>
    <t>157,5</t>
  </si>
  <si>
    <t>2. Зеленин Антон</t>
  </si>
  <si>
    <t>Открытая (29.05.1982)/36</t>
  </si>
  <si>
    <t>89,00</t>
  </si>
  <si>
    <t>3.  Кудрявцев Роман</t>
  </si>
  <si>
    <t>Открытая (29.02.1980)/38</t>
  </si>
  <si>
    <t>86,30</t>
  </si>
  <si>
    <t>137,5</t>
  </si>
  <si>
    <t>ВЕСОВАЯ КАТЕГОРИЯ   100</t>
  </si>
  <si>
    <t>1. Роспашкин Денис</t>
  </si>
  <si>
    <t>Юниоры 20 - 23 (03.11.1996)/22</t>
  </si>
  <si>
    <t>92,50</t>
  </si>
  <si>
    <t>1. Бондаренко Антон</t>
  </si>
  <si>
    <t>Открытая (12.11.1993)/25</t>
  </si>
  <si>
    <t>99,00</t>
  </si>
  <si>
    <t>142,5</t>
  </si>
  <si>
    <t>1. Лысенко Игорь</t>
  </si>
  <si>
    <t>Мастера 45 - 49 (20.09.1970)/48</t>
  </si>
  <si>
    <t>91,35</t>
  </si>
  <si>
    <t>2. Романов Альберт</t>
  </si>
  <si>
    <t>Мастера 45 - 49 (17.04.1982)/36</t>
  </si>
  <si>
    <t>97,00</t>
  </si>
  <si>
    <t>1. Сазонов Олег</t>
  </si>
  <si>
    <t>Мастера 50 - 54 (17.01.1965)/53</t>
  </si>
  <si>
    <t>94,30</t>
  </si>
  <si>
    <t>1. Корж Михаил</t>
  </si>
  <si>
    <t>Открытая (30.04.1987)/31</t>
  </si>
  <si>
    <t>108,50</t>
  </si>
  <si>
    <t>185,0</t>
  </si>
  <si>
    <t>192,5</t>
  </si>
  <si>
    <t>2. Романенко Иван</t>
  </si>
  <si>
    <t>Открытая (21.04.1988)/30</t>
  </si>
  <si>
    <t>108,90</t>
  </si>
  <si>
    <t>-. Уланов Алексей</t>
  </si>
  <si>
    <t>ВЕСОВАЯ КАТЕГОРИЯ   140</t>
  </si>
  <si>
    <t>1. Першин Игорь</t>
  </si>
  <si>
    <t>Открытая (10.04.1987)/31</t>
  </si>
  <si>
    <t>133,50</t>
  </si>
  <si>
    <t>220,0</t>
  </si>
  <si>
    <t>230,0</t>
  </si>
  <si>
    <t>235,0</t>
  </si>
  <si>
    <t>2. Доценко Павел</t>
  </si>
  <si>
    <t>Открытая (06.03.1984)/34</t>
  </si>
  <si>
    <t>138,10</t>
  </si>
  <si>
    <t>222,5</t>
  </si>
  <si>
    <t>232,5</t>
  </si>
  <si>
    <t>3. Грабовецкий Дмитрий</t>
  </si>
  <si>
    <t>Открытая (10.10.1982)/36</t>
  </si>
  <si>
    <t>134,20</t>
  </si>
  <si>
    <t>ВЕСОВАЯ КАТЕГОРИЯ   140+</t>
  </si>
  <si>
    <t>1. Юрин Александр</t>
  </si>
  <si>
    <t>Открытая (29.11.1982)/36</t>
  </si>
  <si>
    <t>150,00</t>
  </si>
  <si>
    <t>182,5</t>
  </si>
  <si>
    <t>1. Копцев Геннадий</t>
  </si>
  <si>
    <t>Мастера 55 - 59 (04.02.1963)/55</t>
  </si>
  <si>
    <t>161,00</t>
  </si>
  <si>
    <t>100,0</t>
  </si>
  <si>
    <t xml:space="preserve">Юноши 18 - 19 </t>
  </si>
  <si>
    <t xml:space="preserve">Shv/Mel </t>
  </si>
  <si>
    <t>Пушкарева Кристина</t>
  </si>
  <si>
    <t>Голубева Лидия</t>
  </si>
  <si>
    <t>56,9270</t>
  </si>
  <si>
    <t>Маркова Оксана</t>
  </si>
  <si>
    <t>57,9985</t>
  </si>
  <si>
    <t>59,8065</t>
  </si>
  <si>
    <t>Пахомова Валерия</t>
  </si>
  <si>
    <t>54,7980</t>
  </si>
  <si>
    <t>Репетиева Евгения</t>
  </si>
  <si>
    <t>49,6455</t>
  </si>
  <si>
    <t>Мишагина Елена</t>
  </si>
  <si>
    <t>58,1625</t>
  </si>
  <si>
    <t>Марков Иван</t>
  </si>
  <si>
    <t>79,2939</t>
  </si>
  <si>
    <t>Корб Юрий</t>
  </si>
  <si>
    <t>57,8667</t>
  </si>
  <si>
    <t>Щелканов Максим</t>
  </si>
  <si>
    <t>81,7944</t>
  </si>
  <si>
    <t>Роспашкин Денис</t>
  </si>
  <si>
    <t>94,5524</t>
  </si>
  <si>
    <t>95,1113</t>
  </si>
  <si>
    <t>Масёров Никита</t>
  </si>
  <si>
    <t>91,7290</t>
  </si>
  <si>
    <t>Михеев Евгений</t>
  </si>
  <si>
    <t>87,0392</t>
  </si>
  <si>
    <t>Плисов Максим</t>
  </si>
  <si>
    <t>88,0600</t>
  </si>
  <si>
    <t>Расулов Руслан</t>
  </si>
  <si>
    <t>82,5795</t>
  </si>
  <si>
    <t>82,3918</t>
  </si>
  <si>
    <t>77,3950</t>
  </si>
  <si>
    <t>Першин Игорь</t>
  </si>
  <si>
    <t>117,4840</t>
  </si>
  <si>
    <t>Доценко Павел</t>
  </si>
  <si>
    <t>112,4938</t>
  </si>
  <si>
    <t>Корж Михаил</t>
  </si>
  <si>
    <t>99,6040</t>
  </si>
  <si>
    <t>Юрин Александр</t>
  </si>
  <si>
    <t>140+</t>
  </si>
  <si>
    <t>89,9725</t>
  </si>
  <si>
    <t>Грабовецкий Дмитрий</t>
  </si>
  <si>
    <t>84,1434</t>
  </si>
  <si>
    <t>Романенко Иван</t>
  </si>
  <si>
    <t>87,3925</t>
  </si>
  <si>
    <t>Шабалин Кирилл</t>
  </si>
  <si>
    <t>91,4655</t>
  </si>
  <si>
    <t>Зеленин Антон</t>
  </si>
  <si>
    <t>91,3415</t>
  </si>
  <si>
    <t>Бондаренко Антон</t>
  </si>
  <si>
    <t>79,3013</t>
  </si>
  <si>
    <t>Луценко Дмитрий</t>
  </si>
  <si>
    <t>87,4440</t>
  </si>
  <si>
    <t>Сибин Максим</t>
  </si>
  <si>
    <t>93,1280</t>
  </si>
  <si>
    <t> Кудрявцев Роман</t>
  </si>
  <si>
    <t>82,6237</t>
  </si>
  <si>
    <t>Егоров Федор</t>
  </si>
  <si>
    <t>110,0045</t>
  </si>
  <si>
    <t xml:space="preserve">Мастера 45 - 49 </t>
  </si>
  <si>
    <t>Лысенко Игорь</t>
  </si>
  <si>
    <t>108,5633</t>
  </si>
  <si>
    <t>Романов Альберт</t>
  </si>
  <si>
    <t>73,0470</t>
  </si>
  <si>
    <t xml:space="preserve">Мастера 50 - 54 </t>
  </si>
  <si>
    <t>Сазонов Олег</t>
  </si>
  <si>
    <t>105,8932</t>
  </si>
  <si>
    <t xml:space="preserve">Мастера 55 - 59 </t>
  </si>
  <si>
    <t>Лыжин Игорь</t>
  </si>
  <si>
    <t>143,8863</t>
  </si>
  <si>
    <t>Копцев Геннадий</t>
  </si>
  <si>
    <t>66,5988</t>
  </si>
  <si>
    <t>Битва Варягов (становая/жим)
ПРО жим лежа без экипировки
Омск/Омская область декабря 2018 г.</t>
  </si>
  <si>
    <t>1. Бузин Александр</t>
  </si>
  <si>
    <t>Юноши 18 - 19 (21.10.2000)/18</t>
  </si>
  <si>
    <t>65,40</t>
  </si>
  <si>
    <t>1. Богомолов Егор</t>
  </si>
  <si>
    <t>Открытая (02.01.1992)/26</t>
  </si>
  <si>
    <t>79,20</t>
  </si>
  <si>
    <t>1. Замалиев Сергей</t>
  </si>
  <si>
    <t>Открытая (15.11.1977)/41</t>
  </si>
  <si>
    <t>86,00</t>
  </si>
  <si>
    <t>190,0</t>
  </si>
  <si>
    <t>195,0</t>
  </si>
  <si>
    <t>Мастера 40 - 44 (15.11.1977)/41</t>
  </si>
  <si>
    <t>-. Хван Геннадий</t>
  </si>
  <si>
    <t>Открытая (23.02.1958)/60</t>
  </si>
  <si>
    <t>100,00</t>
  </si>
  <si>
    <t>Мастера 60 - 64 (23.02.1958)/60</t>
  </si>
  <si>
    <t>1. Пятков Денис</t>
  </si>
  <si>
    <t>Открытая (15.03.1993)/25</t>
  </si>
  <si>
    <t>104,30</t>
  </si>
  <si>
    <t>210,0</t>
  </si>
  <si>
    <t>215,0</t>
  </si>
  <si>
    <t>1. Мишанин Алексей</t>
  </si>
  <si>
    <t>Мастера 40 - 44 (22.08.1975)/43</t>
  </si>
  <si>
    <t>105,40</t>
  </si>
  <si>
    <t>200,0</t>
  </si>
  <si>
    <t>205,0</t>
  </si>
  <si>
    <t>ВЕСОВАЯ КАТЕГОРИЯ   125</t>
  </si>
  <si>
    <t>1. Ильин Евгений</t>
  </si>
  <si>
    <t>Открытая (01.09.1986)/32</t>
  </si>
  <si>
    <t>114,40</t>
  </si>
  <si>
    <t>225,0</t>
  </si>
  <si>
    <t>2. Жуков Максим</t>
  </si>
  <si>
    <t>Открытая (25.01.1988)/30</t>
  </si>
  <si>
    <t>119,00</t>
  </si>
  <si>
    <t>3. Рязанов Алексей</t>
  </si>
  <si>
    <t>Открытая (30.08.1984)/34</t>
  </si>
  <si>
    <t>110,70</t>
  </si>
  <si>
    <t>180,0</t>
  </si>
  <si>
    <t>-. Тетерев Вадим</t>
  </si>
  <si>
    <t>Мастера 45 - 49 (11.10.1972)/46</t>
  </si>
  <si>
    <t>145,10</t>
  </si>
  <si>
    <t>Бузин Александр</t>
  </si>
  <si>
    <t>79,1926</t>
  </si>
  <si>
    <t>Ильин Евгений</t>
  </si>
  <si>
    <t>119,6775</t>
  </si>
  <si>
    <t>Пятков Денис</t>
  </si>
  <si>
    <t>119,9000</t>
  </si>
  <si>
    <t>Замалиев Сергей</t>
  </si>
  <si>
    <t>117,4290</t>
  </si>
  <si>
    <t>Жуков Максим</t>
  </si>
  <si>
    <t>96,3417</t>
  </si>
  <si>
    <t>Рязанов Алексей</t>
  </si>
  <si>
    <t>96,4260</t>
  </si>
  <si>
    <t>Богомолов Егор</t>
  </si>
  <si>
    <t>89,2640</t>
  </si>
  <si>
    <t>Мишанин Алексей</t>
  </si>
  <si>
    <t>110,5752</t>
  </si>
  <si>
    <t>117,7813</t>
  </si>
  <si>
    <t>Битва Варягов (становая/жим)
Любители становая тяга без экипировки
Омск/Омская область декабря 2018 г.</t>
  </si>
  <si>
    <t>Становая тяга</t>
  </si>
  <si>
    <t>1. Такмакова Ксения</t>
  </si>
  <si>
    <t>Юниорки 20 - 23 (09.03.1997)/21</t>
  </si>
  <si>
    <t>46,90</t>
  </si>
  <si>
    <t>80,0</t>
  </si>
  <si>
    <t>85,0</t>
  </si>
  <si>
    <t>Открытая (09.03.1997)/21</t>
  </si>
  <si>
    <t>ВЕСОВАЯ КАТЕГОРИЯ   52</t>
  </si>
  <si>
    <t>1. Усатая Олеся</t>
  </si>
  <si>
    <t>Девушки 16 - 17 (17.08.2001)/17</t>
  </si>
  <si>
    <t>51,70</t>
  </si>
  <si>
    <t>97,5</t>
  </si>
  <si>
    <t>1. Пилепишкина Полина</t>
  </si>
  <si>
    <t>Юниорки 20 - 23 (21.11.1997)/21</t>
  </si>
  <si>
    <t>49,95</t>
  </si>
  <si>
    <t>102,5</t>
  </si>
  <si>
    <t>1. Кузницына Елена</t>
  </si>
  <si>
    <t>Открытая (23.09.1971)/47</t>
  </si>
  <si>
    <t>51,20</t>
  </si>
  <si>
    <t>2. Усатая Олеся</t>
  </si>
  <si>
    <t>Открытая (17.08.2001)/17</t>
  </si>
  <si>
    <t>3. Файзрахманова Кристина</t>
  </si>
  <si>
    <t>Открытая (06.07.1988)/30</t>
  </si>
  <si>
    <t>52,00</t>
  </si>
  <si>
    <t>Мастера 45 - 49 (23.09.1971)/47</t>
  </si>
  <si>
    <t>1. Пахомова Валерия</t>
  </si>
  <si>
    <t>2. Полякова Юлия</t>
  </si>
  <si>
    <t>Открытая (01.11.1987)/31</t>
  </si>
  <si>
    <t>55,85</t>
  </si>
  <si>
    <t>1. Третьякова Анна</t>
  </si>
  <si>
    <t>Юниорки 20 - 23 (24.04.1997)/21</t>
  </si>
  <si>
    <t>60,00</t>
  </si>
  <si>
    <t>1. Конопля Валерия</t>
  </si>
  <si>
    <t>Открытая (19.04.1983)/35</t>
  </si>
  <si>
    <t>66,70</t>
  </si>
  <si>
    <t>142,0</t>
  </si>
  <si>
    <t>2. Конкина Диана</t>
  </si>
  <si>
    <t>Открытая (18.12.1991)/26</t>
  </si>
  <si>
    <t>61,50</t>
  </si>
  <si>
    <t>3. Маркова Оксана</t>
  </si>
  <si>
    <t>4. Шитикова Валентина</t>
  </si>
  <si>
    <t>Открытая (28.03.1982)/36</t>
  </si>
  <si>
    <t>64,90</t>
  </si>
  <si>
    <t>1. Босенко Денис</t>
  </si>
  <si>
    <t>Юноши 14-15 (22.09.2003)/15</t>
  </si>
  <si>
    <t>56,30</t>
  </si>
  <si>
    <t>95,0</t>
  </si>
  <si>
    <t>1. Пензен Данил</t>
  </si>
  <si>
    <t>Юноши 16 - 17 (25.10.2001)/17</t>
  </si>
  <si>
    <t>73,00</t>
  </si>
  <si>
    <t>1. Филлер Дмитрий</t>
  </si>
  <si>
    <t>Юноши 18 - 19 (03.04.2000)/18</t>
  </si>
  <si>
    <t>1. Петросян Вардан</t>
  </si>
  <si>
    <t>Юниоры 20 - 23 (03.02.1997)/21</t>
  </si>
  <si>
    <t>73,35</t>
  </si>
  <si>
    <t>255,0</t>
  </si>
  <si>
    <t>270,0</t>
  </si>
  <si>
    <t>280,0</t>
  </si>
  <si>
    <t>2. Сизонов Андрей</t>
  </si>
  <si>
    <t>Юниоры 20 - 23 (04.09.1998)/20</t>
  </si>
  <si>
    <t>74,40</t>
  </si>
  <si>
    <t>Открытая (03.02.1997)/21</t>
  </si>
  <si>
    <t>2. Фролов Евгений</t>
  </si>
  <si>
    <t>Открытая (11.05.1983)/35</t>
  </si>
  <si>
    <t>74,00</t>
  </si>
  <si>
    <t>3. Ермаков Андрей</t>
  </si>
  <si>
    <t>Открытая (24.08.1993)/25</t>
  </si>
  <si>
    <t>74,95</t>
  </si>
  <si>
    <t>1. Капанин Сергей</t>
  </si>
  <si>
    <t>Юноши 18 - 19 (28.01.1999)/19</t>
  </si>
  <si>
    <t>79,55</t>
  </si>
  <si>
    <t>2. Вараксин Константин</t>
  </si>
  <si>
    <t>Юниоры 20 - 23 (20.10.1997)/21</t>
  </si>
  <si>
    <t>77,90</t>
  </si>
  <si>
    <t>217,5</t>
  </si>
  <si>
    <t>3. Курдюков Василий</t>
  </si>
  <si>
    <t>Юниоры 20 - 23 (17.10.1997)/21</t>
  </si>
  <si>
    <t>82,45</t>
  </si>
  <si>
    <t>4. Кузьмин Сергей</t>
  </si>
  <si>
    <t>Юниоры 20 - 23 (30.11.1996)/22</t>
  </si>
  <si>
    <t>76,70</t>
  </si>
  <si>
    <t>1. Поляев Александр</t>
  </si>
  <si>
    <t>245,0</t>
  </si>
  <si>
    <t>2. Шелег Кирилл Владимирович</t>
  </si>
  <si>
    <t>Открытая (24.06.1994)/24</t>
  </si>
  <si>
    <t>82,10</t>
  </si>
  <si>
    <t>240,0</t>
  </si>
  <si>
    <t>247,5</t>
  </si>
  <si>
    <t>3. Исанбаев Вадим</t>
  </si>
  <si>
    <t>Открытая (26.05.1993)/25</t>
  </si>
  <si>
    <t>77,60</t>
  </si>
  <si>
    <t>1. Басманов Александр</t>
  </si>
  <si>
    <t>Мастера 40 - 44 (22.10.1976)/42</t>
  </si>
  <si>
    <t>81,00</t>
  </si>
  <si>
    <t>197,5</t>
  </si>
  <si>
    <t>2. Сатышев Илдар</t>
  </si>
  <si>
    <t>187,5</t>
  </si>
  <si>
    <t>1. Плотников Святослав</t>
  </si>
  <si>
    <t>Юниоры 20 - 23 (17.02.1998)/20</t>
  </si>
  <si>
    <t>86,40</t>
  </si>
  <si>
    <t>1. Шевченко Алексей</t>
  </si>
  <si>
    <t>Открытая (27.07.1992)/26</t>
  </si>
  <si>
    <t>84,30</t>
  </si>
  <si>
    <t>250,0</t>
  </si>
  <si>
    <t>2. Тимашин Алексей</t>
  </si>
  <si>
    <t>Открытая (04.05.1989)/29</t>
  </si>
  <si>
    <t>86,70</t>
  </si>
  <si>
    <t>3. Ламбин Сергей</t>
  </si>
  <si>
    <t>Открытая (01.07.1987)/31</t>
  </si>
  <si>
    <t>88,00</t>
  </si>
  <si>
    <t>4. Бондарь Алексей</t>
  </si>
  <si>
    <t>Открытая (04.03.1991)/27</t>
  </si>
  <si>
    <t>89,15</t>
  </si>
  <si>
    <t>1. Брюханов Данила</t>
  </si>
  <si>
    <t>Юниоры 20 - 23 (29.12.1995)/22</t>
  </si>
  <si>
    <t>93,00</t>
  </si>
  <si>
    <t>290,0</t>
  </si>
  <si>
    <t>2. Минцев Станислав</t>
  </si>
  <si>
    <t>Юниоры 20 - 23 (02.12.1997)/20</t>
  </si>
  <si>
    <t>91,10</t>
  </si>
  <si>
    <t>1. Быстров Сергей</t>
  </si>
  <si>
    <t>Юниоры 20 - 23 (05.11.1995)/23</t>
  </si>
  <si>
    <t>108,00</t>
  </si>
  <si>
    <t>1. Медведев Станислав</t>
  </si>
  <si>
    <t>Открытая (17.03.1985)/33</t>
  </si>
  <si>
    <t>108,30</t>
  </si>
  <si>
    <t>2. Ладыгин Максим</t>
  </si>
  <si>
    <t>Открытая (20.10.1990)/28</t>
  </si>
  <si>
    <t>109,50</t>
  </si>
  <si>
    <t>242,5</t>
  </si>
  <si>
    <t>3. Царев Игорь</t>
  </si>
  <si>
    <t>Открытая (11.09.1983)/35</t>
  </si>
  <si>
    <t>109,00</t>
  </si>
  <si>
    <t>4. Исаков Игорь</t>
  </si>
  <si>
    <t>Открытая (28.03.1986)/32</t>
  </si>
  <si>
    <t>104,20</t>
  </si>
  <si>
    <t>1. Храпузов Артем</t>
  </si>
  <si>
    <t>Юниоры 20 - 23 (22.05.1996)/22</t>
  </si>
  <si>
    <t>124,50</t>
  </si>
  <si>
    <t>Усатая Олеся</t>
  </si>
  <si>
    <t>52,0</t>
  </si>
  <si>
    <t>Третьякова Анна</t>
  </si>
  <si>
    <t>Пилепишкина Полина</t>
  </si>
  <si>
    <t>Такмакова Ксения</t>
  </si>
  <si>
    <t>130,1452</t>
  </si>
  <si>
    <t>Конопля Валерия</t>
  </si>
  <si>
    <t>111,7824</t>
  </si>
  <si>
    <t>Конкина Диана</t>
  </si>
  <si>
    <t>118,0550</t>
  </si>
  <si>
    <t>107,7115</t>
  </si>
  <si>
    <t>Кузницына Елена</t>
  </si>
  <si>
    <t>112,8955</t>
  </si>
  <si>
    <t>Полякова Юлия</t>
  </si>
  <si>
    <t>105,1100</t>
  </si>
  <si>
    <t>Шитикова Валентина</t>
  </si>
  <si>
    <t>88,6325</t>
  </si>
  <si>
    <t>87,6510</t>
  </si>
  <si>
    <t>Файзрахманова Кристина</t>
  </si>
  <si>
    <t>82,3947</t>
  </si>
  <si>
    <t>89,5815</t>
  </si>
  <si>
    <t>Босенко Денис</t>
  </si>
  <si>
    <t>107,7558</t>
  </si>
  <si>
    <t>Пензен Данил</t>
  </si>
  <si>
    <t>109,9818</t>
  </si>
  <si>
    <t>Филлер Дмитрий</t>
  </si>
  <si>
    <t>145,4606</t>
  </si>
  <si>
    <t>Капанин Сергей</t>
  </si>
  <si>
    <t>118,9656</t>
  </si>
  <si>
    <t>Брюханов Данила</t>
  </si>
  <si>
    <t>156,6389</t>
  </si>
  <si>
    <t>Петросян Вардан</t>
  </si>
  <si>
    <t>186,2668</t>
  </si>
  <si>
    <t>Храпузов Артем</t>
  </si>
  <si>
    <t>126,4601</t>
  </si>
  <si>
    <t>Плотников Святослав</t>
  </si>
  <si>
    <t>145,3268</t>
  </si>
  <si>
    <t>138,3800</t>
  </si>
  <si>
    <t>Вараксин Константин</t>
  </si>
  <si>
    <t>143,1820</t>
  </si>
  <si>
    <t>Быстров Сергей</t>
  </si>
  <si>
    <t>113,2110</t>
  </si>
  <si>
    <t>Курдюков Василий</t>
  </si>
  <si>
    <t>132,7076</t>
  </si>
  <si>
    <t>Минцев Станислав</t>
  </si>
  <si>
    <t>116,7340</t>
  </si>
  <si>
    <t>Кузьмин Сергей</t>
  </si>
  <si>
    <t>112,1201</t>
  </si>
  <si>
    <t>Сизонов Андрей</t>
  </si>
  <si>
    <t>113,6456</t>
  </si>
  <si>
    <t>182,6145</t>
  </si>
  <si>
    <t>Шевченко Алексей</t>
  </si>
  <si>
    <t>155,6010</t>
  </si>
  <si>
    <t>Медведев Станислав</t>
  </si>
  <si>
    <t>131,9570</t>
  </si>
  <si>
    <t>Поляев Александр</t>
  </si>
  <si>
    <t>153,1495</t>
  </si>
  <si>
    <t>Ладыгин Максим</t>
  </si>
  <si>
    <t>130,2468</t>
  </si>
  <si>
    <t>Шелег Кирилл Владимирович</t>
  </si>
  <si>
    <t>149,1360</t>
  </si>
  <si>
    <t>Исанбаев Вадим</t>
  </si>
  <si>
    <t>148,8790</t>
  </si>
  <si>
    <t>Тимашин Алексей</t>
  </si>
  <si>
    <t>134,7975</t>
  </si>
  <si>
    <t>Ламбин Сергей</t>
  </si>
  <si>
    <t>133,5375</t>
  </si>
  <si>
    <t>Царев Игорь</t>
  </si>
  <si>
    <t>118,2940</t>
  </si>
  <si>
    <t>Фролов Евгений</t>
  </si>
  <si>
    <t>141,0360</t>
  </si>
  <si>
    <t>Ермаков Андрей</t>
  </si>
  <si>
    <t>136,2942</t>
  </si>
  <si>
    <t>Бондарь Алексей</t>
  </si>
  <si>
    <t>117,7400</t>
  </si>
  <si>
    <t>Исаков Игорь</t>
  </si>
  <si>
    <t>109,0400</t>
  </si>
  <si>
    <t>Басманов Александр</t>
  </si>
  <si>
    <t>125,0068</t>
  </si>
  <si>
    <t>118,8179</t>
  </si>
  <si>
    <t>Битва Варягов (становая/жим)
ПРО становая тяга без экипировки
Омск/Омская область декабря 2018 г.</t>
  </si>
  <si>
    <t>1. Мацукевич Андрей</t>
  </si>
  <si>
    <t>Открытая (20.11.1992)/26</t>
  </si>
  <si>
    <t>73,30</t>
  </si>
  <si>
    <t>1. Мильчаков Евгений</t>
  </si>
  <si>
    <t>Юноши 18 - 19 (30.08.2000)/18</t>
  </si>
  <si>
    <t>88,70</t>
  </si>
  <si>
    <t>1. Названов Александр</t>
  </si>
  <si>
    <t>Мастера 40 - 44 (02.10.1975)/43</t>
  </si>
  <si>
    <t>300,0</t>
  </si>
  <si>
    <t>-. Недоситко Андрей</t>
  </si>
  <si>
    <t>Открытая (06.04.1979)/39</t>
  </si>
  <si>
    <t>117,50</t>
  </si>
  <si>
    <t>Мильчаков Евгений</t>
  </si>
  <si>
    <t>125,1860</t>
  </si>
  <si>
    <t>163,5000</t>
  </si>
  <si>
    <t>Мацукевич Андрей</t>
  </si>
  <si>
    <t>125,1895</t>
  </si>
  <si>
    <t>Названов Александр</t>
  </si>
  <si>
    <t>104,8056</t>
  </si>
  <si>
    <t xml:space="preserve">Юниоры 14- 23 </t>
  </si>
  <si>
    <t>129,4200</t>
  </si>
  <si>
    <t>111,0780</t>
  </si>
  <si>
    <t>Юниоры</t>
  </si>
  <si>
    <t xml:space="preserve">Юниоры 14 - 23 </t>
  </si>
  <si>
    <t>Мастера 40 - 59</t>
  </si>
  <si>
    <t>ВЕСОВАЯ КАТЕГОРИЯ  82,5</t>
  </si>
  <si>
    <t>2. Колодзинский Лев</t>
  </si>
  <si>
    <t>ВЕСОВАЯ КАТЕГОРИЯ  67,5</t>
  </si>
  <si>
    <t>1. Михайлов Александр</t>
  </si>
  <si>
    <t>1. Самохин Владимир</t>
  </si>
  <si>
    <t>2. Жаров Дмитрий</t>
  </si>
  <si>
    <t>ВЕСОВАЯ КАТЕГОРИЯ  90</t>
  </si>
  <si>
    <t>1,0000</t>
  </si>
  <si>
    <t>лично </t>
  </si>
  <si>
    <t>Омск/Омская область </t>
  </si>
  <si>
    <t>3. Фадин Антон</t>
  </si>
  <si>
    <t>ВЕСОВАЯ КАТЕГОРИЯ  100</t>
  </si>
  <si>
    <t>ВЕСОВАЯ КАТЕГОРИЯ  110</t>
  </si>
  <si>
    <t>1. Елисеев Евгений</t>
  </si>
  <si>
    <t>1. Киргизов Иван</t>
  </si>
  <si>
    <t>1. Насыров Артем</t>
  </si>
  <si>
    <t>Курочкин Евгений</t>
  </si>
  <si>
    <t>Хазанов Максим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</si>
</sst>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trike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0" fillId="0" borderId="11" xfId="0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F16" sqref="F16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1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5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4</v>
      </c>
      <c r="C3" s="53" t="s">
        <v>5</v>
      </c>
      <c r="D3" s="43" t="s">
        <v>8</v>
      </c>
      <c r="E3" s="43" t="s">
        <v>3</v>
      </c>
      <c r="F3" s="43" t="s">
        <v>6</v>
      </c>
      <c r="G3" s="43" t="s">
        <v>35</v>
      </c>
      <c r="H3" s="43"/>
      <c r="I3" s="43" t="s">
        <v>38</v>
      </c>
      <c r="J3" s="43" t="s">
        <v>2</v>
      </c>
      <c r="K3" s="54" t="s">
        <v>1</v>
      </c>
    </row>
    <row r="4" spans="1:11" s="1" customFormat="1" ht="21" customHeight="1" thickBot="1">
      <c r="A4" s="52"/>
      <c r="B4" s="44"/>
      <c r="C4" s="44"/>
      <c r="D4" s="44"/>
      <c r="E4" s="44"/>
      <c r="F4" s="44"/>
      <c r="G4" s="5" t="s">
        <v>36</v>
      </c>
      <c r="H4" s="17" t="s">
        <v>37</v>
      </c>
      <c r="I4" s="44"/>
      <c r="J4" s="44"/>
      <c r="K4" s="55"/>
    </row>
    <row r="5" spans="1:10" ht="15">
      <c r="A5" s="42" t="s">
        <v>9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11</v>
      </c>
      <c r="B6" s="7" t="s">
        <v>12</v>
      </c>
      <c r="C6" s="7" t="s">
        <v>13</v>
      </c>
      <c r="D6" s="7" t="str">
        <f>"1,0000"</f>
        <v>1,0000</v>
      </c>
      <c r="E6" s="7" t="s">
        <v>14</v>
      </c>
      <c r="F6" s="7" t="s">
        <v>15</v>
      </c>
      <c r="G6" s="8" t="s">
        <v>16</v>
      </c>
      <c r="H6" s="18" t="s">
        <v>17</v>
      </c>
      <c r="I6" s="7" t="str">
        <f>"1155,0"</f>
        <v>1155,0</v>
      </c>
      <c r="J6" s="8" t="str">
        <f>"20,8483"</f>
        <v>20,8483</v>
      </c>
      <c r="K6" s="7" t="s">
        <v>18</v>
      </c>
    </row>
    <row r="8" spans="5:6" ht="15">
      <c r="E8" s="9" t="s">
        <v>19</v>
      </c>
      <c r="F8" s="33" t="s">
        <v>743</v>
      </c>
    </row>
    <row r="9" spans="5:6" ht="15">
      <c r="E9" s="9" t="s">
        <v>20</v>
      </c>
      <c r="F9" s="33" t="s">
        <v>744</v>
      </c>
    </row>
    <row r="10" spans="5:6" ht="15">
      <c r="E10" s="9" t="s">
        <v>21</v>
      </c>
      <c r="F10" s="33" t="s">
        <v>743</v>
      </c>
    </row>
    <row r="11" spans="5:6" ht="15">
      <c r="E11" s="9" t="s">
        <v>22</v>
      </c>
      <c r="F11" s="33" t="s">
        <v>690</v>
      </c>
    </row>
    <row r="12" spans="5:6" ht="15">
      <c r="E12" s="9" t="s">
        <v>22</v>
      </c>
      <c r="F12" s="33" t="s">
        <v>376</v>
      </c>
    </row>
    <row r="13" spans="5:6" ht="15">
      <c r="E13" s="9" t="s">
        <v>23</v>
      </c>
      <c r="F13" s="33" t="s">
        <v>359</v>
      </c>
    </row>
    <row r="14" ht="15">
      <c r="E14" s="9"/>
    </row>
    <row r="16" spans="1:2" ht="18">
      <c r="A16" s="10" t="s">
        <v>24</v>
      </c>
      <c r="B16" s="10"/>
    </row>
    <row r="17" spans="1:2" ht="15">
      <c r="A17" s="11" t="s">
        <v>25</v>
      </c>
      <c r="B17" s="11"/>
    </row>
    <row r="18" spans="1:2" ht="14.25">
      <c r="A18" s="13"/>
      <c r="B18" s="14" t="s">
        <v>26</v>
      </c>
    </row>
    <row r="19" spans="1:5" ht="15">
      <c r="A19" s="15" t="s">
        <v>27</v>
      </c>
      <c r="B19" s="15" t="s">
        <v>28</v>
      </c>
      <c r="C19" s="15" t="s">
        <v>29</v>
      </c>
      <c r="D19" s="15" t="s">
        <v>30</v>
      </c>
      <c r="E19" s="15" t="s">
        <v>31</v>
      </c>
    </row>
    <row r="20" spans="1:5" ht="12.75">
      <c r="A20" s="12" t="s">
        <v>10</v>
      </c>
      <c r="B20" s="4" t="s">
        <v>26</v>
      </c>
      <c r="C20" s="4" t="s">
        <v>32</v>
      </c>
      <c r="D20" s="4" t="s">
        <v>33</v>
      </c>
      <c r="E20" s="16" t="s">
        <v>34</v>
      </c>
    </row>
  </sheetData>
  <sheetProtection/>
  <mergeCells count="12">
    <mergeCell ref="A5:J5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0">
      <selection activeCell="F23" sqref="F23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5" t="s">
        <v>701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4</v>
      </c>
      <c r="C3" s="53" t="s">
        <v>5</v>
      </c>
      <c r="D3" s="43" t="s">
        <v>195</v>
      </c>
      <c r="E3" s="43" t="s">
        <v>3</v>
      </c>
      <c r="F3" s="43" t="s">
        <v>6</v>
      </c>
      <c r="G3" s="43" t="s">
        <v>482</v>
      </c>
      <c r="H3" s="43"/>
      <c r="I3" s="43"/>
      <c r="J3" s="43"/>
      <c r="K3" s="43" t="s">
        <v>197</v>
      </c>
      <c r="L3" s="43" t="s">
        <v>2</v>
      </c>
      <c r="M3" s="54" t="s">
        <v>1</v>
      </c>
    </row>
    <row r="4" spans="1:13" s="1" customFormat="1" ht="21" customHeight="1" thickBot="1">
      <c r="A4" s="52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198</v>
      </c>
      <c r="K4" s="44"/>
      <c r="L4" s="44"/>
      <c r="M4" s="55"/>
    </row>
    <row r="5" spans="1:12" ht="15">
      <c r="A5" s="42" t="s">
        <v>150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702</v>
      </c>
      <c r="B6" s="7" t="s">
        <v>703</v>
      </c>
      <c r="C6" s="7" t="s">
        <v>704</v>
      </c>
      <c r="D6" s="7" t="str">
        <f>"0,6767"</f>
        <v>0,6767</v>
      </c>
      <c r="E6" s="7" t="s">
        <v>14</v>
      </c>
      <c r="F6" s="7" t="s">
        <v>15</v>
      </c>
      <c r="G6" s="8" t="s">
        <v>263</v>
      </c>
      <c r="H6" s="8" t="s">
        <v>319</v>
      </c>
      <c r="I6" s="32" t="s">
        <v>448</v>
      </c>
      <c r="J6" s="32"/>
      <c r="K6" s="7" t="str">
        <f>"185,0"</f>
        <v>185,0</v>
      </c>
      <c r="L6" s="8" t="str">
        <f>"125,1895"</f>
        <v>125,1895</v>
      </c>
      <c r="M6" s="7" t="s">
        <v>18</v>
      </c>
    </row>
    <row r="8" spans="1:12" ht="15">
      <c r="A8" s="62" t="s">
        <v>184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3" ht="12.75">
      <c r="A9" s="7" t="s">
        <v>705</v>
      </c>
      <c r="B9" s="7" t="s">
        <v>706</v>
      </c>
      <c r="C9" s="7" t="s">
        <v>707</v>
      </c>
      <c r="D9" s="7" t="str">
        <f>"0,5905"</f>
        <v>0,5905</v>
      </c>
      <c r="E9" s="7" t="s">
        <v>14</v>
      </c>
      <c r="F9" s="7" t="s">
        <v>15</v>
      </c>
      <c r="G9" s="8" t="s">
        <v>263</v>
      </c>
      <c r="H9" s="8" t="s">
        <v>460</v>
      </c>
      <c r="I9" s="8" t="s">
        <v>447</v>
      </c>
      <c r="J9" s="32"/>
      <c r="K9" s="7" t="str">
        <f>"200,0"</f>
        <v>200,0</v>
      </c>
      <c r="L9" s="8" t="str">
        <f>"125,1860"</f>
        <v>125,1860</v>
      </c>
      <c r="M9" s="7" t="s">
        <v>18</v>
      </c>
    </row>
    <row r="11" spans="1:12" ht="15">
      <c r="A11" s="62" t="s">
        <v>299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3" ht="12.75">
      <c r="A12" s="7" t="s">
        <v>708</v>
      </c>
      <c r="B12" s="7" t="s">
        <v>709</v>
      </c>
      <c r="C12" s="7" t="s">
        <v>305</v>
      </c>
      <c r="D12" s="7" t="str">
        <f>"0,5565"</f>
        <v>0,5565</v>
      </c>
      <c r="E12" s="7" t="s">
        <v>14</v>
      </c>
      <c r="F12" s="7" t="s">
        <v>15</v>
      </c>
      <c r="G12" s="8" t="s">
        <v>263</v>
      </c>
      <c r="H12" s="8" t="s">
        <v>319</v>
      </c>
      <c r="I12" s="32" t="s">
        <v>433</v>
      </c>
      <c r="J12" s="32"/>
      <c r="K12" s="7" t="str">
        <f>"185,0"</f>
        <v>185,0</v>
      </c>
      <c r="L12" s="8" t="str">
        <f>"104,8056"</f>
        <v>104,8056</v>
      </c>
      <c r="M12" s="7" t="s">
        <v>18</v>
      </c>
    </row>
    <row r="14" spans="1:12" ht="15">
      <c r="A14" s="62" t="s">
        <v>164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" ht="12.75">
      <c r="A15" s="7" t="s">
        <v>439</v>
      </c>
      <c r="B15" s="7" t="s">
        <v>440</v>
      </c>
      <c r="C15" s="7" t="s">
        <v>441</v>
      </c>
      <c r="D15" s="7" t="str">
        <f>"0,5450"</f>
        <v>0,5450</v>
      </c>
      <c r="E15" s="7" t="s">
        <v>14</v>
      </c>
      <c r="F15" s="7" t="s">
        <v>15</v>
      </c>
      <c r="G15" s="8" t="s">
        <v>598</v>
      </c>
      <c r="H15" s="32" t="s">
        <v>710</v>
      </c>
      <c r="I15" s="8" t="s">
        <v>710</v>
      </c>
      <c r="J15" s="32"/>
      <c r="K15" s="7" t="str">
        <f>"300,0"</f>
        <v>300,0</v>
      </c>
      <c r="L15" s="8" t="str">
        <f>"163,5000"</f>
        <v>163,5000</v>
      </c>
      <c r="M15" s="7" t="s">
        <v>18</v>
      </c>
    </row>
    <row r="17" spans="1:12" ht="15">
      <c r="A17" s="62" t="s">
        <v>449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3" ht="12.75">
      <c r="A18" s="7" t="s">
        <v>711</v>
      </c>
      <c r="B18" s="7" t="s">
        <v>712</v>
      </c>
      <c r="C18" s="7" t="s">
        <v>713</v>
      </c>
      <c r="D18" s="7" t="str">
        <f>"0,5292"</f>
        <v>0,5292</v>
      </c>
      <c r="E18" s="7" t="s">
        <v>14</v>
      </c>
      <c r="F18" s="7" t="s">
        <v>15</v>
      </c>
      <c r="G18" s="32" t="s">
        <v>598</v>
      </c>
      <c r="H18" s="32" t="s">
        <v>598</v>
      </c>
      <c r="I18" s="32" t="s">
        <v>598</v>
      </c>
      <c r="J18" s="32"/>
      <c r="K18" s="7" t="str">
        <f>"0.00"</f>
        <v>0.00</v>
      </c>
      <c r="L18" s="8" t="str">
        <f>"0,0000"</f>
        <v>0,0000</v>
      </c>
      <c r="M18" s="7" t="s">
        <v>18</v>
      </c>
    </row>
    <row r="20" spans="5:6" ht="15">
      <c r="E20" s="9" t="s">
        <v>19</v>
      </c>
      <c r="F20" s="33" t="s">
        <v>743</v>
      </c>
    </row>
    <row r="21" spans="5:6" ht="15">
      <c r="E21" s="9" t="s">
        <v>20</v>
      </c>
      <c r="F21" s="33" t="s">
        <v>744</v>
      </c>
    </row>
    <row r="22" spans="5:6" ht="15">
      <c r="E22" s="9" t="s">
        <v>21</v>
      </c>
      <c r="F22" s="33" t="s">
        <v>743</v>
      </c>
    </row>
    <row r="23" spans="5:6" ht="15">
      <c r="E23" s="9" t="s">
        <v>22</v>
      </c>
      <c r="F23" s="33" t="s">
        <v>690</v>
      </c>
    </row>
    <row r="24" spans="5:6" ht="15">
      <c r="E24" s="9" t="s">
        <v>22</v>
      </c>
      <c r="F24" s="33" t="s">
        <v>376</v>
      </c>
    </row>
    <row r="25" spans="5:6" ht="15">
      <c r="E25" s="9" t="s">
        <v>23</v>
      </c>
      <c r="F25" s="33" t="s">
        <v>359</v>
      </c>
    </row>
    <row r="26" ht="15">
      <c r="E26" s="9"/>
    </row>
    <row r="28" spans="1:2" ht="18">
      <c r="A28" s="10" t="s">
        <v>24</v>
      </c>
      <c r="B28" s="10"/>
    </row>
    <row r="29" spans="1:2" ht="15">
      <c r="A29" s="11" t="s">
        <v>80</v>
      </c>
      <c r="B29" s="11"/>
    </row>
    <row r="30" spans="1:2" ht="14.25">
      <c r="A30" s="13"/>
      <c r="B30" s="14" t="s">
        <v>349</v>
      </c>
    </row>
    <row r="31" spans="1:5" ht="15">
      <c r="A31" s="15" t="s">
        <v>27</v>
      </c>
      <c r="B31" s="15" t="s">
        <v>28</v>
      </c>
      <c r="C31" s="15" t="s">
        <v>29</v>
      </c>
      <c r="D31" s="15" t="s">
        <v>30</v>
      </c>
      <c r="E31" s="15" t="s">
        <v>350</v>
      </c>
    </row>
    <row r="32" spans="1:5" ht="12.75">
      <c r="A32" s="12" t="s">
        <v>714</v>
      </c>
      <c r="B32" s="4" t="s">
        <v>349</v>
      </c>
      <c r="C32" s="4" t="s">
        <v>191</v>
      </c>
      <c r="D32" s="4" t="s">
        <v>447</v>
      </c>
      <c r="E32" s="16" t="s">
        <v>715</v>
      </c>
    </row>
    <row r="34" spans="1:2" ht="14.25">
      <c r="A34" s="13"/>
      <c r="B34" s="14" t="s">
        <v>26</v>
      </c>
    </row>
    <row r="35" spans="1:5" ht="15">
      <c r="A35" s="15" t="s">
        <v>27</v>
      </c>
      <c r="B35" s="15" t="s">
        <v>28</v>
      </c>
      <c r="C35" s="15" t="s">
        <v>29</v>
      </c>
      <c r="D35" s="15" t="s">
        <v>30</v>
      </c>
      <c r="E35" s="15" t="s">
        <v>350</v>
      </c>
    </row>
    <row r="36" spans="1:5" ht="12.75">
      <c r="A36" s="12" t="s">
        <v>468</v>
      </c>
      <c r="B36" s="4" t="s">
        <v>26</v>
      </c>
      <c r="C36" s="4" t="s">
        <v>180</v>
      </c>
      <c r="D36" s="4" t="s">
        <v>710</v>
      </c>
      <c r="E36" s="16" t="s">
        <v>716</v>
      </c>
    </row>
    <row r="37" spans="1:5" ht="12.75">
      <c r="A37" s="12" t="s">
        <v>717</v>
      </c>
      <c r="B37" s="4" t="s">
        <v>26</v>
      </c>
      <c r="C37" s="4" t="s">
        <v>124</v>
      </c>
      <c r="D37" s="4" t="s">
        <v>319</v>
      </c>
      <c r="E37" s="16" t="s">
        <v>718</v>
      </c>
    </row>
    <row r="39" spans="1:2" ht="14.25">
      <c r="A39" s="13"/>
      <c r="B39" s="14" t="s">
        <v>119</v>
      </c>
    </row>
    <row r="40" spans="1:5" ht="15">
      <c r="A40" s="15" t="s">
        <v>27</v>
      </c>
      <c r="B40" s="15" t="s">
        <v>28</v>
      </c>
      <c r="C40" s="15" t="s">
        <v>29</v>
      </c>
      <c r="D40" s="15" t="s">
        <v>30</v>
      </c>
      <c r="E40" s="15" t="s">
        <v>350</v>
      </c>
    </row>
    <row r="41" spans="1:5" ht="12.75">
      <c r="A41" s="12" t="s">
        <v>719</v>
      </c>
      <c r="B41" s="4" t="s">
        <v>119</v>
      </c>
      <c r="C41" s="4" t="s">
        <v>348</v>
      </c>
      <c r="D41" s="4" t="s">
        <v>319</v>
      </c>
      <c r="E41" s="16" t="s">
        <v>720</v>
      </c>
    </row>
  </sheetData>
  <sheetProtection/>
  <mergeCells count="16"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3">
      <selection activeCell="E31" sqref="E31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1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4</v>
      </c>
      <c r="C3" s="53" t="s">
        <v>5</v>
      </c>
      <c r="D3" s="43" t="s">
        <v>8</v>
      </c>
      <c r="E3" s="43" t="s">
        <v>3</v>
      </c>
      <c r="F3" s="43" t="s">
        <v>6</v>
      </c>
      <c r="G3" s="43" t="s">
        <v>35</v>
      </c>
      <c r="H3" s="43"/>
      <c r="I3" s="43" t="s">
        <v>38</v>
      </c>
      <c r="J3" s="43" t="s">
        <v>2</v>
      </c>
      <c r="K3" s="54" t="s">
        <v>1</v>
      </c>
    </row>
    <row r="4" spans="1:11" s="1" customFormat="1" ht="21" customHeight="1" thickBot="1">
      <c r="A4" s="60"/>
      <c r="B4" s="61"/>
      <c r="C4" s="61"/>
      <c r="D4" s="61"/>
      <c r="E4" s="61"/>
      <c r="F4" s="61"/>
      <c r="G4" s="36" t="s">
        <v>36</v>
      </c>
      <c r="H4" s="37" t="s">
        <v>37</v>
      </c>
      <c r="I4" s="61"/>
      <c r="J4" s="61"/>
      <c r="K4" s="59"/>
    </row>
    <row r="5" spans="1:11" ht="15.75" thickBot="1">
      <c r="A5" s="56" t="s">
        <v>729</v>
      </c>
      <c r="B5" s="57"/>
      <c r="C5" s="57"/>
      <c r="D5" s="57"/>
      <c r="E5" s="57"/>
      <c r="F5" s="57"/>
      <c r="G5" s="57"/>
      <c r="H5" s="57"/>
      <c r="I5" s="57"/>
      <c r="J5" s="58"/>
      <c r="K5" s="39"/>
    </row>
    <row r="6" spans="1:11" ht="12.75">
      <c r="A6" s="41" t="s">
        <v>730</v>
      </c>
      <c r="B6" s="26" t="s">
        <v>72</v>
      </c>
      <c r="C6" s="26" t="s">
        <v>73</v>
      </c>
      <c r="D6" s="26" t="str">
        <f aca="true" t="shared" si="0" ref="D6:D23">"1,0000"</f>
        <v>1,0000</v>
      </c>
      <c r="E6" s="26" t="s">
        <v>14</v>
      </c>
      <c r="F6" s="26" t="s">
        <v>15</v>
      </c>
      <c r="G6" s="27" t="s">
        <v>43</v>
      </c>
      <c r="H6" s="28" t="s">
        <v>74</v>
      </c>
      <c r="I6" s="26" t="str">
        <f>"2585,0"</f>
        <v>2585,0</v>
      </c>
      <c r="J6" s="27" t="str">
        <f>"38,6397"</f>
        <v>38,6397</v>
      </c>
      <c r="K6" s="7"/>
    </row>
    <row r="7" spans="1:11" ht="13.5" thickBot="1">
      <c r="A7" s="40" t="s">
        <v>731</v>
      </c>
      <c r="B7" s="20" t="s">
        <v>51</v>
      </c>
      <c r="C7" s="20" t="s">
        <v>52</v>
      </c>
      <c r="D7" s="20" t="str">
        <f t="shared" si="0"/>
        <v>1,0000</v>
      </c>
      <c r="E7" s="20" t="s">
        <v>14</v>
      </c>
      <c r="F7" s="20" t="s">
        <v>15</v>
      </c>
      <c r="G7" s="21" t="s">
        <v>43</v>
      </c>
      <c r="H7" s="22" t="s">
        <v>53</v>
      </c>
      <c r="I7" s="20" t="str">
        <f>"2365,0"</f>
        <v>2365,0</v>
      </c>
      <c r="J7" s="21" t="str">
        <f>"36,0243"</f>
        <v>36,0243</v>
      </c>
      <c r="K7" s="7" t="s">
        <v>18</v>
      </c>
    </row>
    <row r="8" spans="1:11" ht="15.75" thickBot="1">
      <c r="A8" s="56" t="s">
        <v>150</v>
      </c>
      <c r="B8" s="57"/>
      <c r="C8" s="57"/>
      <c r="D8" s="57"/>
      <c r="E8" s="57"/>
      <c r="F8" s="57"/>
      <c r="G8" s="57"/>
      <c r="H8" s="57"/>
      <c r="I8" s="57"/>
      <c r="J8" s="58"/>
      <c r="K8" s="39" t="s">
        <v>18</v>
      </c>
    </row>
    <row r="9" spans="1:11" ht="12.75">
      <c r="A9" s="41" t="s">
        <v>240</v>
      </c>
      <c r="B9" s="26" t="s">
        <v>48</v>
      </c>
      <c r="C9" s="26" t="s">
        <v>49</v>
      </c>
      <c r="D9" s="26" t="str">
        <f t="shared" si="0"/>
        <v>1,0000</v>
      </c>
      <c r="E9" s="26" t="s">
        <v>14</v>
      </c>
      <c r="F9" s="26" t="s">
        <v>15</v>
      </c>
      <c r="G9" s="27" t="s">
        <v>43</v>
      </c>
      <c r="H9" s="28" t="s">
        <v>50</v>
      </c>
      <c r="I9" s="26" t="str">
        <f>"2805,0"</f>
        <v>2805,0</v>
      </c>
      <c r="J9" s="27" t="str">
        <f>"37,5502"</f>
        <v>37,5502</v>
      </c>
      <c r="K9" s="7" t="s">
        <v>18</v>
      </c>
    </row>
    <row r="10" spans="1:11" ht="13.5" thickBot="1">
      <c r="A10" s="40" t="s">
        <v>728</v>
      </c>
      <c r="B10" s="20" t="s">
        <v>54</v>
      </c>
      <c r="C10" s="20" t="s">
        <v>55</v>
      </c>
      <c r="D10" s="20" t="str">
        <f t="shared" si="0"/>
        <v>1,0000</v>
      </c>
      <c r="E10" s="20" t="s">
        <v>14</v>
      </c>
      <c r="F10" s="20" t="s">
        <v>15</v>
      </c>
      <c r="G10" s="21" t="s">
        <v>43</v>
      </c>
      <c r="H10" s="22" t="s">
        <v>56</v>
      </c>
      <c r="I10" s="20" t="str">
        <f>"2090,0"</f>
        <v>2090,0</v>
      </c>
      <c r="J10" s="21" t="str">
        <f>"28,2051"</f>
        <v>28,2051</v>
      </c>
      <c r="K10" s="7"/>
    </row>
    <row r="11" spans="1:11" ht="15.75" thickBot="1">
      <c r="A11" s="56" t="s">
        <v>727</v>
      </c>
      <c r="B11" s="57"/>
      <c r="C11" s="57"/>
      <c r="D11" s="57"/>
      <c r="E11" s="57"/>
      <c r="F11" s="57"/>
      <c r="G11" s="57"/>
      <c r="H11" s="57"/>
      <c r="I11" s="57"/>
      <c r="J11" s="58"/>
      <c r="K11" s="39" t="s">
        <v>18</v>
      </c>
    </row>
    <row r="12" spans="1:11" ht="12.75">
      <c r="A12" s="26" t="s">
        <v>40</v>
      </c>
      <c r="B12" s="26" t="s">
        <v>41</v>
      </c>
      <c r="C12" s="26" t="s">
        <v>42</v>
      </c>
      <c r="D12" s="26" t="str">
        <f t="shared" si="0"/>
        <v>1,0000</v>
      </c>
      <c r="E12" s="26" t="s">
        <v>14</v>
      </c>
      <c r="F12" s="26" t="s">
        <v>15</v>
      </c>
      <c r="G12" s="27" t="s">
        <v>43</v>
      </c>
      <c r="H12" s="28" t="s">
        <v>44</v>
      </c>
      <c r="I12" s="26" t="str">
        <f>"3630,0"</f>
        <v>3630,0</v>
      </c>
      <c r="J12" s="27" t="str">
        <f>"44,7595"</f>
        <v>44,7595</v>
      </c>
      <c r="K12" s="7" t="s">
        <v>18</v>
      </c>
    </row>
    <row r="13" spans="1:11" ht="12.75">
      <c r="A13" s="7" t="s">
        <v>57</v>
      </c>
      <c r="B13" s="7" t="s">
        <v>58</v>
      </c>
      <c r="C13" s="7" t="s">
        <v>59</v>
      </c>
      <c r="D13" s="7" t="str">
        <f t="shared" si="0"/>
        <v>1,0000</v>
      </c>
      <c r="E13" s="7" t="s">
        <v>14</v>
      </c>
      <c r="F13" s="7" t="s">
        <v>15</v>
      </c>
      <c r="G13" s="8" t="s">
        <v>43</v>
      </c>
      <c r="H13" s="18" t="s">
        <v>47</v>
      </c>
      <c r="I13" s="7" t="str">
        <f>"3245,0"</f>
        <v>3245,0</v>
      </c>
      <c r="J13" s="8" t="str">
        <f>"40,1112"</f>
        <v>40,1112</v>
      </c>
      <c r="K13" s="7" t="s">
        <v>18</v>
      </c>
    </row>
    <row r="14" spans="1:11" ht="12.75">
      <c r="A14" s="38" t="s">
        <v>732</v>
      </c>
      <c r="B14" s="7" t="s">
        <v>69</v>
      </c>
      <c r="C14" s="7" t="s">
        <v>70</v>
      </c>
      <c r="D14" s="7" t="str">
        <f t="shared" si="0"/>
        <v>1,0000</v>
      </c>
      <c r="E14" s="7" t="s">
        <v>14</v>
      </c>
      <c r="F14" s="7" t="s">
        <v>15</v>
      </c>
      <c r="G14" s="8" t="s">
        <v>43</v>
      </c>
      <c r="H14" s="18" t="s">
        <v>71</v>
      </c>
      <c r="I14" s="7" t="str">
        <f>"2970,0"</f>
        <v>2970,0</v>
      </c>
      <c r="J14" s="8" t="str">
        <f>"36,7574"</f>
        <v>36,7574</v>
      </c>
      <c r="K14" s="7" t="s">
        <v>18</v>
      </c>
    </row>
    <row r="15" spans="1:11" ht="13.5" thickBot="1">
      <c r="A15" s="20" t="s">
        <v>77</v>
      </c>
      <c r="B15" s="20" t="s">
        <v>78</v>
      </c>
      <c r="C15" s="20" t="s">
        <v>79</v>
      </c>
      <c r="D15" s="20" t="str">
        <f t="shared" si="0"/>
        <v>1,0000</v>
      </c>
      <c r="E15" s="20" t="s">
        <v>14</v>
      </c>
      <c r="F15" s="20" t="s">
        <v>15</v>
      </c>
      <c r="G15" s="21" t="s">
        <v>43</v>
      </c>
      <c r="H15" s="22" t="s">
        <v>53</v>
      </c>
      <c r="I15" s="20" t="str">
        <f>"2365,0"</f>
        <v>2365,0</v>
      </c>
      <c r="J15" s="21" t="str">
        <f>"29,4887"</f>
        <v>29,4887</v>
      </c>
      <c r="K15" s="7" t="s">
        <v>18</v>
      </c>
    </row>
    <row r="16" spans="1:11" ht="15.75" thickBot="1">
      <c r="A16" s="56" t="s">
        <v>733</v>
      </c>
      <c r="B16" s="57"/>
      <c r="C16" s="57"/>
      <c r="D16" s="57"/>
      <c r="E16" s="57"/>
      <c r="F16" s="57"/>
      <c r="G16" s="57"/>
      <c r="H16" s="57"/>
      <c r="I16" s="57"/>
      <c r="J16" s="58"/>
      <c r="K16" s="39" t="s">
        <v>18</v>
      </c>
    </row>
    <row r="17" spans="1:11" ht="12.75">
      <c r="A17" s="35" t="s">
        <v>742</v>
      </c>
      <c r="B17" s="35" t="s">
        <v>45</v>
      </c>
      <c r="C17" s="35" t="s">
        <v>46</v>
      </c>
      <c r="D17" s="35" t="s">
        <v>734</v>
      </c>
      <c r="E17" s="35" t="s">
        <v>735</v>
      </c>
      <c r="F17" s="35" t="s">
        <v>736</v>
      </c>
      <c r="G17" s="35" t="s">
        <v>43</v>
      </c>
      <c r="H17" s="35" t="s">
        <v>47</v>
      </c>
      <c r="I17" s="35" t="s">
        <v>90</v>
      </c>
      <c r="J17" s="35" t="s">
        <v>91</v>
      </c>
      <c r="K17" s="7" t="s">
        <v>18</v>
      </c>
    </row>
    <row r="18" spans="1:11" ht="12.75">
      <c r="A18" s="41" t="s">
        <v>60</v>
      </c>
      <c r="B18" s="26" t="s">
        <v>61</v>
      </c>
      <c r="C18" s="26" t="s">
        <v>62</v>
      </c>
      <c r="D18" s="26" t="str">
        <f t="shared" si="0"/>
        <v>1,0000</v>
      </c>
      <c r="E18" s="26" t="s">
        <v>14</v>
      </c>
      <c r="F18" s="26" t="s">
        <v>15</v>
      </c>
      <c r="G18" s="27" t="s">
        <v>43</v>
      </c>
      <c r="H18" s="28" t="s">
        <v>63</v>
      </c>
      <c r="I18" s="26" t="str">
        <f>"3190,0"</f>
        <v>3190,0</v>
      </c>
      <c r="J18" s="27" t="str">
        <f>"35,4444"</f>
        <v>35,4444</v>
      </c>
      <c r="K18" s="7" t="s">
        <v>18</v>
      </c>
    </row>
    <row r="19" spans="1:11" ht="13.5" thickBot="1">
      <c r="A19" s="40" t="s">
        <v>737</v>
      </c>
      <c r="B19" s="20" t="s">
        <v>75</v>
      </c>
      <c r="C19" s="20" t="s">
        <v>76</v>
      </c>
      <c r="D19" s="20" t="str">
        <f t="shared" si="0"/>
        <v>1,0000</v>
      </c>
      <c r="E19" s="20" t="s">
        <v>14</v>
      </c>
      <c r="F19" s="20" t="s">
        <v>15</v>
      </c>
      <c r="G19" s="21" t="s">
        <v>43</v>
      </c>
      <c r="H19" s="22" t="s">
        <v>16</v>
      </c>
      <c r="I19" s="20" t="str">
        <f>"1925,0"</f>
        <v>1925,0</v>
      </c>
      <c r="J19" s="21" t="str">
        <f>"22,2286"</f>
        <v>22,2286</v>
      </c>
      <c r="K19" s="7"/>
    </row>
    <row r="20" spans="1:11" ht="15.75" thickBot="1">
      <c r="A20" s="56" t="s">
        <v>738</v>
      </c>
      <c r="B20" s="57"/>
      <c r="C20" s="57"/>
      <c r="D20" s="57"/>
      <c r="E20" s="57"/>
      <c r="F20" s="57"/>
      <c r="G20" s="57"/>
      <c r="H20" s="57"/>
      <c r="I20" s="57"/>
      <c r="J20" s="58"/>
      <c r="K20" s="39"/>
    </row>
    <row r="21" spans="1:11" ht="13.5" thickBot="1">
      <c r="A21" s="34" t="s">
        <v>741</v>
      </c>
      <c r="B21" s="23" t="s">
        <v>64</v>
      </c>
      <c r="C21" s="23" t="s">
        <v>65</v>
      </c>
      <c r="D21" s="23" t="str">
        <f t="shared" si="0"/>
        <v>1,0000</v>
      </c>
      <c r="E21" s="23" t="s">
        <v>14</v>
      </c>
      <c r="F21" s="23" t="s">
        <v>15</v>
      </c>
      <c r="G21" s="24" t="s">
        <v>43</v>
      </c>
      <c r="H21" s="25" t="s">
        <v>66</v>
      </c>
      <c r="I21" s="23" t="str">
        <f>"3080,0"</f>
        <v>3080,0</v>
      </c>
      <c r="J21" s="24" t="str">
        <f>"33,8461"</f>
        <v>33,8461</v>
      </c>
      <c r="K21" s="7"/>
    </row>
    <row r="22" spans="1:11" ht="15.75" thickBot="1">
      <c r="A22" s="56" t="s">
        <v>739</v>
      </c>
      <c r="B22" s="57"/>
      <c r="C22" s="57"/>
      <c r="D22" s="57"/>
      <c r="E22" s="57"/>
      <c r="F22" s="57"/>
      <c r="G22" s="57"/>
      <c r="H22" s="57"/>
      <c r="I22" s="57"/>
      <c r="J22" s="58"/>
      <c r="K22" s="39"/>
    </row>
    <row r="23" spans="1:11" ht="12.75">
      <c r="A23" s="41" t="s">
        <v>740</v>
      </c>
      <c r="B23" s="26" t="s">
        <v>67</v>
      </c>
      <c r="C23" s="26" t="s">
        <v>68</v>
      </c>
      <c r="D23" s="26" t="str">
        <f t="shared" si="0"/>
        <v>1,0000</v>
      </c>
      <c r="E23" s="26" t="s">
        <v>14</v>
      </c>
      <c r="F23" s="26" t="s">
        <v>15</v>
      </c>
      <c r="G23" s="27" t="s">
        <v>43</v>
      </c>
      <c r="H23" s="28" t="s">
        <v>66</v>
      </c>
      <c r="I23" s="26" t="str">
        <f>"3080,0"</f>
        <v>3080,0</v>
      </c>
      <c r="J23" s="27" t="str">
        <f>"28,9201"</f>
        <v>28,9201</v>
      </c>
      <c r="K23" s="7"/>
    </row>
    <row r="24" spans="1:9" ht="12.75">
      <c r="A24" s="3"/>
      <c r="B24" s="3"/>
      <c r="C24" s="3"/>
      <c r="D24" s="3"/>
      <c r="E24" s="3"/>
      <c r="F24" s="3"/>
      <c r="H24" s="3"/>
      <c r="I24" s="3"/>
    </row>
    <row r="25" spans="5:6" ht="15">
      <c r="E25" s="9" t="s">
        <v>19</v>
      </c>
      <c r="F25" s="33" t="s">
        <v>743</v>
      </c>
    </row>
    <row r="26" spans="5:6" ht="15">
      <c r="E26" s="9" t="s">
        <v>20</v>
      </c>
      <c r="F26" s="33" t="s">
        <v>744</v>
      </c>
    </row>
    <row r="27" spans="5:6" ht="15">
      <c r="E27" s="9" t="s">
        <v>21</v>
      </c>
      <c r="F27" s="33" t="s">
        <v>743</v>
      </c>
    </row>
    <row r="28" spans="5:6" ht="15">
      <c r="E28" s="9" t="s">
        <v>22</v>
      </c>
      <c r="F28" s="33" t="s">
        <v>690</v>
      </c>
    </row>
    <row r="29" spans="5:6" ht="15">
      <c r="E29" s="9" t="s">
        <v>22</v>
      </c>
      <c r="F29" s="33" t="s">
        <v>376</v>
      </c>
    </row>
    <row r="30" spans="5:6" ht="15">
      <c r="E30" s="9" t="s">
        <v>23</v>
      </c>
      <c r="F30" s="33" t="s">
        <v>359</v>
      </c>
    </row>
    <row r="31" ht="15">
      <c r="E31" s="9"/>
    </row>
    <row r="33" spans="1:2" ht="18">
      <c r="A33" s="10" t="s">
        <v>24</v>
      </c>
      <c r="B33" s="10"/>
    </row>
    <row r="34" spans="1:2" ht="15">
      <c r="A34" s="11" t="s">
        <v>80</v>
      </c>
      <c r="B34" s="11"/>
    </row>
    <row r="35" spans="1:2" ht="14.25">
      <c r="A35" s="13"/>
      <c r="B35" s="14" t="s">
        <v>81</v>
      </c>
    </row>
    <row r="36" spans="1:5" ht="15">
      <c r="A36" s="15" t="s">
        <v>27</v>
      </c>
      <c r="B36" s="15" t="s">
        <v>28</v>
      </c>
      <c r="C36" s="15" t="s">
        <v>29</v>
      </c>
      <c r="D36" s="15" t="s">
        <v>30</v>
      </c>
      <c r="E36" s="15" t="s">
        <v>31</v>
      </c>
    </row>
    <row r="37" spans="1:5" ht="12.75">
      <c r="A37" s="12" t="s">
        <v>82</v>
      </c>
      <c r="B37" s="4" t="s">
        <v>83</v>
      </c>
      <c r="C37" s="4" t="s">
        <v>32</v>
      </c>
      <c r="D37" s="4" t="s">
        <v>84</v>
      </c>
      <c r="E37" s="16" t="s">
        <v>85</v>
      </c>
    </row>
    <row r="38" spans="1:5" ht="12.75">
      <c r="A38" s="12" t="s">
        <v>86</v>
      </c>
      <c r="B38" s="4" t="s">
        <v>83</v>
      </c>
      <c r="C38" s="4" t="s">
        <v>32</v>
      </c>
      <c r="D38" s="4" t="s">
        <v>87</v>
      </c>
      <c r="E38" s="16" t="s">
        <v>88</v>
      </c>
    </row>
    <row r="39" spans="1:5" ht="12.75">
      <c r="A39" s="12" t="s">
        <v>89</v>
      </c>
      <c r="B39" s="4" t="s">
        <v>83</v>
      </c>
      <c r="C39" s="4" t="s">
        <v>32</v>
      </c>
      <c r="D39" s="4" t="s">
        <v>90</v>
      </c>
      <c r="E39" s="16" t="s">
        <v>91</v>
      </c>
    </row>
    <row r="40" spans="1:5" ht="12.75">
      <c r="A40" s="12" t="s">
        <v>92</v>
      </c>
      <c r="B40" s="4" t="s">
        <v>83</v>
      </c>
      <c r="C40" s="4" t="s">
        <v>32</v>
      </c>
      <c r="D40" s="4" t="s">
        <v>93</v>
      </c>
      <c r="E40" s="16" t="s">
        <v>94</v>
      </c>
    </row>
    <row r="41" spans="1:5" ht="12.75">
      <c r="A41" s="12" t="s">
        <v>95</v>
      </c>
      <c r="B41" s="4" t="s">
        <v>83</v>
      </c>
      <c r="C41" s="4" t="s">
        <v>32</v>
      </c>
      <c r="D41" s="4" t="s">
        <v>96</v>
      </c>
      <c r="E41" s="16" t="s">
        <v>97</v>
      </c>
    </row>
    <row r="43" spans="1:2" ht="14.25">
      <c r="A43" s="13"/>
      <c r="B43" s="14" t="s">
        <v>26</v>
      </c>
    </row>
    <row r="44" spans="1:5" ht="15">
      <c r="A44" s="15" t="s">
        <v>27</v>
      </c>
      <c r="B44" s="15" t="s">
        <v>28</v>
      </c>
      <c r="C44" s="15" t="s">
        <v>29</v>
      </c>
      <c r="D44" s="15" t="s">
        <v>30</v>
      </c>
      <c r="E44" s="15" t="s">
        <v>31</v>
      </c>
    </row>
    <row r="45" spans="1:5" ht="12.75">
      <c r="A45" s="12" t="s">
        <v>98</v>
      </c>
      <c r="B45" s="4" t="s">
        <v>26</v>
      </c>
      <c r="C45" s="4" t="s">
        <v>32</v>
      </c>
      <c r="D45" s="4" t="s">
        <v>90</v>
      </c>
      <c r="E45" s="16" t="s">
        <v>99</v>
      </c>
    </row>
    <row r="46" spans="1:5" ht="12.75">
      <c r="A46" s="12" t="s">
        <v>100</v>
      </c>
      <c r="B46" s="4" t="s">
        <v>26</v>
      </c>
      <c r="C46" s="4" t="s">
        <v>32</v>
      </c>
      <c r="D46" s="4" t="s">
        <v>101</v>
      </c>
      <c r="E46" s="16" t="s">
        <v>102</v>
      </c>
    </row>
    <row r="47" spans="1:5" ht="12.75">
      <c r="A47" s="12" t="s">
        <v>103</v>
      </c>
      <c r="B47" s="4" t="s">
        <v>26</v>
      </c>
      <c r="C47" s="4" t="s">
        <v>32</v>
      </c>
      <c r="D47" s="4" t="s">
        <v>104</v>
      </c>
      <c r="E47" s="16" t="s">
        <v>105</v>
      </c>
    </row>
    <row r="48" spans="1:5" ht="12.75">
      <c r="A48" s="12" t="s">
        <v>106</v>
      </c>
      <c r="B48" s="4" t="s">
        <v>26</v>
      </c>
      <c r="C48" s="4" t="s">
        <v>32</v>
      </c>
      <c r="D48" s="4" t="s">
        <v>107</v>
      </c>
      <c r="E48" s="16" t="s">
        <v>108</v>
      </c>
    </row>
    <row r="49" spans="1:5" ht="12.75">
      <c r="A49" s="12" t="s">
        <v>109</v>
      </c>
      <c r="B49" s="4" t="s">
        <v>26</v>
      </c>
      <c r="C49" s="4" t="s">
        <v>32</v>
      </c>
      <c r="D49" s="4" t="s">
        <v>110</v>
      </c>
      <c r="E49" s="16" t="s">
        <v>111</v>
      </c>
    </row>
    <row r="50" spans="1:5" ht="12.75">
      <c r="A50" s="12" t="s">
        <v>112</v>
      </c>
      <c r="B50" s="4" t="s">
        <v>26</v>
      </c>
      <c r="C50" s="4" t="s">
        <v>32</v>
      </c>
      <c r="D50" s="4" t="s">
        <v>110</v>
      </c>
      <c r="E50" s="16" t="s">
        <v>113</v>
      </c>
    </row>
    <row r="51" spans="1:5" ht="12.75">
      <c r="A51" s="12" t="s">
        <v>114</v>
      </c>
      <c r="B51" s="4" t="s">
        <v>26</v>
      </c>
      <c r="C51" s="4" t="s">
        <v>32</v>
      </c>
      <c r="D51" s="4" t="s">
        <v>115</v>
      </c>
      <c r="E51" s="16" t="s">
        <v>116</v>
      </c>
    </row>
    <row r="53" spans="1:2" ht="14.25">
      <c r="A53" s="13"/>
      <c r="B53" s="14" t="s">
        <v>117</v>
      </c>
    </row>
    <row r="54" spans="1:5" ht="15">
      <c r="A54" s="15" t="s">
        <v>27</v>
      </c>
      <c r="B54" s="15" t="s">
        <v>28</v>
      </c>
      <c r="C54" s="15" t="s">
        <v>29</v>
      </c>
      <c r="D54" s="15" t="s">
        <v>30</v>
      </c>
      <c r="E54" s="15" t="s">
        <v>31</v>
      </c>
    </row>
    <row r="55" spans="1:5" ht="12.75">
      <c r="A55" s="12" t="s">
        <v>118</v>
      </c>
      <c r="B55" s="4" t="s">
        <v>119</v>
      </c>
      <c r="C55" s="4" t="s">
        <v>32</v>
      </c>
      <c r="D55" s="4" t="s">
        <v>93</v>
      </c>
      <c r="E55" s="16" t="s">
        <v>120</v>
      </c>
    </row>
  </sheetData>
  <sheetProtection/>
  <mergeCells count="17">
    <mergeCell ref="K3:K4"/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22:J22"/>
    <mergeCell ref="A5:J5"/>
    <mergeCell ref="A8:J8"/>
    <mergeCell ref="A16:J16"/>
    <mergeCell ref="A20:J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5" sqref="E15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1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5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4</v>
      </c>
      <c r="C3" s="53" t="s">
        <v>5</v>
      </c>
      <c r="D3" s="43" t="s">
        <v>8</v>
      </c>
      <c r="E3" s="43" t="s">
        <v>3</v>
      </c>
      <c r="F3" s="43" t="s">
        <v>6</v>
      </c>
      <c r="G3" s="43" t="s">
        <v>35</v>
      </c>
      <c r="H3" s="43"/>
      <c r="I3" s="43" t="s">
        <v>38</v>
      </c>
      <c r="J3" s="43" t="s">
        <v>2</v>
      </c>
      <c r="K3" s="54" t="s">
        <v>1</v>
      </c>
    </row>
    <row r="4" spans="1:11" s="1" customFormat="1" ht="21" customHeight="1" thickBot="1">
      <c r="A4" s="52"/>
      <c r="B4" s="44"/>
      <c r="C4" s="44"/>
      <c r="D4" s="44"/>
      <c r="E4" s="44"/>
      <c r="F4" s="44"/>
      <c r="G4" s="6" t="s">
        <v>36</v>
      </c>
      <c r="H4" s="17" t="s">
        <v>37</v>
      </c>
      <c r="I4" s="44"/>
      <c r="J4" s="44"/>
      <c r="K4" s="55"/>
    </row>
    <row r="5" spans="1:10" ht="15">
      <c r="A5" s="42" t="s">
        <v>9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20" t="s">
        <v>122</v>
      </c>
      <c r="B6" s="20" t="s">
        <v>123</v>
      </c>
      <c r="C6" s="20" t="s">
        <v>62</v>
      </c>
      <c r="D6" s="20" t="str">
        <f>"1,0000"</f>
        <v>1,0000</v>
      </c>
      <c r="E6" s="20" t="s">
        <v>14</v>
      </c>
      <c r="F6" s="20" t="s">
        <v>15</v>
      </c>
      <c r="G6" s="21" t="s">
        <v>124</v>
      </c>
      <c r="H6" s="22" t="s">
        <v>56</v>
      </c>
      <c r="I6" s="20" t="str">
        <f>"2850,0"</f>
        <v>2850,0</v>
      </c>
      <c r="J6" s="21" t="str">
        <f>"31,6666"</f>
        <v>31,6666</v>
      </c>
      <c r="K6" s="20" t="s">
        <v>18</v>
      </c>
    </row>
    <row r="7" spans="1:11" ht="12.75">
      <c r="A7" s="26" t="s">
        <v>125</v>
      </c>
      <c r="B7" s="26" t="s">
        <v>126</v>
      </c>
      <c r="C7" s="26" t="s">
        <v>127</v>
      </c>
      <c r="D7" s="26" t="str">
        <f>"1,0000"</f>
        <v>1,0000</v>
      </c>
      <c r="E7" s="26" t="s">
        <v>14</v>
      </c>
      <c r="F7" s="26" t="s">
        <v>15</v>
      </c>
      <c r="G7" s="27" t="s">
        <v>124</v>
      </c>
      <c r="H7" s="28" t="s">
        <v>128</v>
      </c>
      <c r="I7" s="26" t="str">
        <f>"1275,0"</f>
        <v>1275,0</v>
      </c>
      <c r="J7" s="27" t="str">
        <f>"17,1601"</f>
        <v>17,1601</v>
      </c>
      <c r="K7" s="26" t="s">
        <v>18</v>
      </c>
    </row>
    <row r="9" spans="5:6" ht="15">
      <c r="E9" s="9" t="s">
        <v>19</v>
      </c>
      <c r="F9" s="33" t="s">
        <v>743</v>
      </c>
    </row>
    <row r="10" spans="5:6" ht="15">
      <c r="E10" s="9" t="s">
        <v>20</v>
      </c>
      <c r="F10" s="33" t="s">
        <v>744</v>
      </c>
    </row>
    <row r="11" spans="5:6" ht="15">
      <c r="E11" s="9" t="s">
        <v>21</v>
      </c>
      <c r="F11" s="33" t="s">
        <v>743</v>
      </c>
    </row>
    <row r="12" spans="5:6" ht="15">
      <c r="E12" s="9" t="s">
        <v>22</v>
      </c>
      <c r="F12" s="33" t="s">
        <v>690</v>
      </c>
    </row>
    <row r="13" spans="5:6" ht="15">
      <c r="E13" s="9" t="s">
        <v>22</v>
      </c>
      <c r="F13" s="33" t="s">
        <v>376</v>
      </c>
    </row>
    <row r="14" spans="5:6" ht="15">
      <c r="E14" s="9" t="s">
        <v>23</v>
      </c>
      <c r="F14" s="33" t="s">
        <v>359</v>
      </c>
    </row>
    <row r="15" ht="15">
      <c r="E15" s="9"/>
    </row>
    <row r="17" spans="1:2" ht="18">
      <c r="A17" s="10" t="s">
        <v>24</v>
      </c>
      <c r="B17" s="10"/>
    </row>
    <row r="18" spans="1:2" ht="15">
      <c r="A18" s="11" t="s">
        <v>80</v>
      </c>
      <c r="B18" s="11"/>
    </row>
    <row r="19" spans="1:2" ht="14.25">
      <c r="A19" s="13"/>
      <c r="B19" s="14" t="s">
        <v>83</v>
      </c>
    </row>
    <row r="20" spans="1:5" ht="15">
      <c r="A20" s="15" t="s">
        <v>27</v>
      </c>
      <c r="B20" s="15" t="s">
        <v>28</v>
      </c>
      <c r="C20" s="15" t="s">
        <v>29</v>
      </c>
      <c r="D20" s="15" t="s">
        <v>30</v>
      </c>
      <c r="E20" s="15" t="s">
        <v>31</v>
      </c>
    </row>
    <row r="21" spans="1:5" ht="12.75">
      <c r="A21" s="12" t="s">
        <v>129</v>
      </c>
      <c r="B21" s="4" t="s">
        <v>83</v>
      </c>
      <c r="C21" s="4" t="s">
        <v>32</v>
      </c>
      <c r="D21" s="4" t="s">
        <v>130</v>
      </c>
      <c r="E21" s="16" t="s">
        <v>131</v>
      </c>
    </row>
    <row r="23" spans="1:2" ht="14.25">
      <c r="A23" s="13"/>
      <c r="B23" s="14" t="s">
        <v>132</v>
      </c>
    </row>
    <row r="24" spans="1:5" ht="15">
      <c r="A24" s="15" t="s">
        <v>27</v>
      </c>
      <c r="B24" s="15" t="s">
        <v>28</v>
      </c>
      <c r="C24" s="15" t="s">
        <v>29</v>
      </c>
      <c r="D24" s="15" t="s">
        <v>30</v>
      </c>
      <c r="E24" s="15" t="s">
        <v>31</v>
      </c>
    </row>
    <row r="25" spans="1:5" ht="12.75">
      <c r="A25" s="12" t="s">
        <v>133</v>
      </c>
      <c r="B25" s="4" t="s">
        <v>132</v>
      </c>
      <c r="C25" s="4" t="s">
        <v>32</v>
      </c>
      <c r="D25" s="4" t="s">
        <v>134</v>
      </c>
      <c r="E25" s="16" t="s">
        <v>135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7">
      <selection activeCell="E13" sqref="E13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4.625" style="4" bestFit="1" customWidth="1"/>
    <col min="7" max="7" width="4.625" style="3" bestFit="1" customWidth="1"/>
    <col min="8" max="8" width="4.625" style="19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5" t="s">
        <v>136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4</v>
      </c>
      <c r="C3" s="53" t="s">
        <v>5</v>
      </c>
      <c r="D3" s="43" t="s">
        <v>137</v>
      </c>
      <c r="E3" s="43" t="s">
        <v>3</v>
      </c>
      <c r="F3" s="43" t="s">
        <v>6</v>
      </c>
      <c r="G3" s="43" t="s">
        <v>35</v>
      </c>
      <c r="H3" s="43"/>
      <c r="I3" s="43" t="s">
        <v>38</v>
      </c>
      <c r="J3" s="43" t="s">
        <v>2</v>
      </c>
      <c r="K3" s="54" t="s">
        <v>1</v>
      </c>
    </row>
    <row r="4" spans="1:11" s="1" customFormat="1" ht="21" customHeight="1" thickBot="1">
      <c r="A4" s="52"/>
      <c r="B4" s="44"/>
      <c r="C4" s="44"/>
      <c r="D4" s="44"/>
      <c r="E4" s="44"/>
      <c r="F4" s="44"/>
      <c r="G4" s="6" t="s">
        <v>36</v>
      </c>
      <c r="H4" s="17" t="s">
        <v>37</v>
      </c>
      <c r="I4" s="44"/>
      <c r="J4" s="44"/>
      <c r="K4" s="55"/>
    </row>
    <row r="5" spans="1:10" ht="15">
      <c r="A5" s="42" t="s">
        <v>138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139</v>
      </c>
      <c r="B6" s="7" t="s">
        <v>140</v>
      </c>
      <c r="C6" s="7" t="s">
        <v>141</v>
      </c>
      <c r="D6" s="7" t="str">
        <f>"0,9625"</f>
        <v>0,9625</v>
      </c>
      <c r="E6" s="7" t="s">
        <v>14</v>
      </c>
      <c r="F6" s="7" t="s">
        <v>142</v>
      </c>
      <c r="G6" s="8" t="s">
        <v>143</v>
      </c>
      <c r="H6" s="18" t="s">
        <v>16</v>
      </c>
      <c r="I6" s="7" t="str">
        <f>"875,0"</f>
        <v>875,0</v>
      </c>
      <c r="J6" s="8" t="str">
        <f>"842,1875"</f>
        <v>842,1875</v>
      </c>
      <c r="K6" s="7" t="s">
        <v>18</v>
      </c>
    </row>
    <row r="8" spans="5:6" ht="15">
      <c r="E8" s="9" t="s">
        <v>19</v>
      </c>
      <c r="F8" s="33" t="s">
        <v>743</v>
      </c>
    </row>
    <row r="9" spans="5:6" ht="15">
      <c r="E9" s="9" t="s">
        <v>20</v>
      </c>
      <c r="F9" s="33" t="s">
        <v>744</v>
      </c>
    </row>
    <row r="10" spans="5:6" ht="15">
      <c r="E10" s="9" t="s">
        <v>21</v>
      </c>
      <c r="F10" s="33" t="s">
        <v>743</v>
      </c>
    </row>
    <row r="11" spans="5:6" ht="15">
      <c r="E11" s="9" t="s">
        <v>22</v>
      </c>
      <c r="F11" s="33" t="s">
        <v>690</v>
      </c>
    </row>
    <row r="12" spans="5:6" ht="15">
      <c r="E12" s="9" t="s">
        <v>22</v>
      </c>
      <c r="F12" s="33" t="s">
        <v>376</v>
      </c>
    </row>
    <row r="13" spans="5:6" ht="15">
      <c r="E13" s="9" t="s">
        <v>23</v>
      </c>
      <c r="F13" s="33" t="s">
        <v>359</v>
      </c>
    </row>
    <row r="14" ht="15">
      <c r="E14" s="9"/>
    </row>
    <row r="16" spans="1:2" ht="18">
      <c r="A16" s="10" t="s">
        <v>24</v>
      </c>
      <c r="B16" s="10"/>
    </row>
    <row r="17" spans="1:2" ht="15">
      <c r="A17" s="11" t="s">
        <v>25</v>
      </c>
      <c r="B17" s="11"/>
    </row>
    <row r="18" spans="1:2" ht="14.25">
      <c r="A18" s="13"/>
      <c r="B18" s="14" t="s">
        <v>26</v>
      </c>
    </row>
    <row r="19" spans="1:5" ht="15">
      <c r="A19" s="15" t="s">
        <v>27</v>
      </c>
      <c r="B19" s="15" t="s">
        <v>28</v>
      </c>
      <c r="C19" s="15" t="s">
        <v>29</v>
      </c>
      <c r="D19" s="15" t="s">
        <v>30</v>
      </c>
      <c r="E19" s="15" t="s">
        <v>144</v>
      </c>
    </row>
    <row r="20" spans="1:5" ht="12.75">
      <c r="A20" s="12" t="s">
        <v>145</v>
      </c>
      <c r="B20" s="4" t="s">
        <v>26</v>
      </c>
      <c r="C20" s="4" t="s">
        <v>146</v>
      </c>
      <c r="D20" s="4" t="s">
        <v>147</v>
      </c>
      <c r="E20" s="16" t="s">
        <v>148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B33" sqref="B33"/>
    </sheetView>
  </sheetViews>
  <sheetFormatPr defaultColWidth="9.1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4.625" style="4" bestFit="1" customWidth="1"/>
    <col min="7" max="7" width="5.625" style="3" bestFit="1" customWidth="1"/>
    <col min="8" max="8" width="4.625" style="1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5" t="s">
        <v>149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4</v>
      </c>
      <c r="C3" s="53" t="s">
        <v>5</v>
      </c>
      <c r="D3" s="43" t="s">
        <v>137</v>
      </c>
      <c r="E3" s="43" t="s">
        <v>3</v>
      </c>
      <c r="F3" s="43" t="s">
        <v>6</v>
      </c>
      <c r="G3" s="43" t="s">
        <v>35</v>
      </c>
      <c r="H3" s="43"/>
      <c r="I3" s="43" t="s">
        <v>38</v>
      </c>
      <c r="J3" s="43" t="s">
        <v>2</v>
      </c>
      <c r="K3" s="54" t="s">
        <v>1</v>
      </c>
    </row>
    <row r="4" spans="1:11" s="1" customFormat="1" ht="21" customHeight="1" thickBot="1">
      <c r="A4" s="52"/>
      <c r="B4" s="44"/>
      <c r="C4" s="44"/>
      <c r="D4" s="44"/>
      <c r="E4" s="44"/>
      <c r="F4" s="44"/>
      <c r="G4" s="6" t="s">
        <v>36</v>
      </c>
      <c r="H4" s="17" t="s">
        <v>37</v>
      </c>
      <c r="I4" s="44"/>
      <c r="J4" s="44"/>
      <c r="K4" s="55"/>
    </row>
    <row r="5" spans="1:10" ht="15">
      <c r="A5" s="42" t="s">
        <v>150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151</v>
      </c>
      <c r="B6" s="7" t="s">
        <v>152</v>
      </c>
      <c r="C6" s="7" t="s">
        <v>153</v>
      </c>
      <c r="D6" s="7" t="str">
        <f>"0,7998"</f>
        <v>0,7998</v>
      </c>
      <c r="E6" s="7" t="s">
        <v>14</v>
      </c>
      <c r="F6" s="7" t="s">
        <v>142</v>
      </c>
      <c r="G6" s="8" t="s">
        <v>124</v>
      </c>
      <c r="H6" s="18" t="s">
        <v>154</v>
      </c>
      <c r="I6" s="7" t="str">
        <f>"1575,0"</f>
        <v>1575,0</v>
      </c>
      <c r="J6" s="8" t="str">
        <f>"1259,6850"</f>
        <v>1259,6850</v>
      </c>
      <c r="K6" s="7" t="s">
        <v>18</v>
      </c>
    </row>
    <row r="8" spans="1:10" ht="15">
      <c r="A8" s="62" t="s">
        <v>155</v>
      </c>
      <c r="B8" s="62"/>
      <c r="C8" s="62"/>
      <c r="D8" s="62"/>
      <c r="E8" s="62"/>
      <c r="F8" s="62"/>
      <c r="G8" s="62"/>
      <c r="H8" s="62"/>
      <c r="I8" s="62"/>
      <c r="J8" s="62"/>
    </row>
    <row r="9" spans="1:11" ht="12.75">
      <c r="A9" s="20" t="s">
        <v>156</v>
      </c>
      <c r="B9" s="20" t="s">
        <v>157</v>
      </c>
      <c r="C9" s="20" t="s">
        <v>158</v>
      </c>
      <c r="D9" s="20" t="str">
        <f>"0,7656"</f>
        <v>0,7656</v>
      </c>
      <c r="E9" s="20" t="s">
        <v>14</v>
      </c>
      <c r="F9" s="20" t="s">
        <v>15</v>
      </c>
      <c r="G9" s="21" t="s">
        <v>159</v>
      </c>
      <c r="H9" s="22" t="s">
        <v>160</v>
      </c>
      <c r="I9" s="20" t="str">
        <f>"1650,0"</f>
        <v>1650,0</v>
      </c>
      <c r="J9" s="21" t="str">
        <f>"1263,2400"</f>
        <v>1263,2400</v>
      </c>
      <c r="K9" s="20" t="s">
        <v>18</v>
      </c>
    </row>
    <row r="10" spans="1:11" ht="12.75">
      <c r="A10" s="26" t="s">
        <v>161</v>
      </c>
      <c r="B10" s="26" t="s">
        <v>162</v>
      </c>
      <c r="C10" s="26" t="s">
        <v>163</v>
      </c>
      <c r="D10" s="26" t="str">
        <f>"0,7591"</f>
        <v>0,7591</v>
      </c>
      <c r="E10" s="26" t="s">
        <v>14</v>
      </c>
      <c r="F10" s="26" t="s">
        <v>15</v>
      </c>
      <c r="G10" s="27" t="s">
        <v>159</v>
      </c>
      <c r="H10" s="28" t="s">
        <v>128</v>
      </c>
      <c r="I10" s="26" t="str">
        <f>"1402,5"</f>
        <v>1402,5</v>
      </c>
      <c r="J10" s="27" t="str">
        <f>"1064,6378"</f>
        <v>1064,6378</v>
      </c>
      <c r="K10" s="26" t="s">
        <v>18</v>
      </c>
    </row>
    <row r="12" spans="1:10" ht="15">
      <c r="A12" s="62" t="s">
        <v>164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12.75">
      <c r="A13" s="7" t="s">
        <v>165</v>
      </c>
      <c r="B13" s="7" t="s">
        <v>166</v>
      </c>
      <c r="C13" s="7" t="s">
        <v>167</v>
      </c>
      <c r="D13" s="7" t="str">
        <f>"0,6566"</f>
        <v>0,6566</v>
      </c>
      <c r="E13" s="7" t="s">
        <v>14</v>
      </c>
      <c r="F13" s="7" t="s">
        <v>15</v>
      </c>
      <c r="G13" s="8" t="s">
        <v>168</v>
      </c>
      <c r="H13" s="18" t="s">
        <v>169</v>
      </c>
      <c r="I13" s="7" t="str">
        <f>"1397,5"</f>
        <v>1397,5</v>
      </c>
      <c r="J13" s="8" t="str">
        <f>"917,5985"</f>
        <v>917,5985</v>
      </c>
      <c r="K13" s="7" t="s">
        <v>18</v>
      </c>
    </row>
    <row r="15" spans="5:6" ht="15">
      <c r="E15" s="9" t="s">
        <v>19</v>
      </c>
      <c r="F15" s="33" t="s">
        <v>743</v>
      </c>
    </row>
    <row r="16" spans="5:6" ht="15">
      <c r="E16" s="9" t="s">
        <v>20</v>
      </c>
      <c r="F16" s="33" t="s">
        <v>744</v>
      </c>
    </row>
    <row r="17" spans="5:6" ht="15">
      <c r="E17" s="9" t="s">
        <v>21</v>
      </c>
      <c r="F17" s="33" t="s">
        <v>743</v>
      </c>
    </row>
    <row r="18" spans="5:6" ht="15">
      <c r="E18" s="9" t="s">
        <v>22</v>
      </c>
      <c r="F18" s="33" t="s">
        <v>690</v>
      </c>
    </row>
    <row r="19" spans="5:6" ht="15">
      <c r="E19" s="9" t="s">
        <v>22</v>
      </c>
      <c r="F19" s="33" t="s">
        <v>376</v>
      </c>
    </row>
    <row r="20" spans="5:6" ht="15">
      <c r="E20" s="9" t="s">
        <v>23</v>
      </c>
      <c r="F20" s="33" t="s">
        <v>359</v>
      </c>
    </row>
    <row r="21" ht="15">
      <c r="E21" s="9"/>
    </row>
    <row r="23" spans="1:2" ht="18">
      <c r="A23" s="10" t="s">
        <v>24</v>
      </c>
      <c r="B23" s="10"/>
    </row>
    <row r="24" spans="1:2" ht="15">
      <c r="A24" s="11" t="s">
        <v>80</v>
      </c>
      <c r="B24" s="11"/>
    </row>
    <row r="25" spans="1:2" ht="14.25">
      <c r="A25" s="13"/>
      <c r="B25" s="14" t="s">
        <v>83</v>
      </c>
    </row>
    <row r="26" spans="1:5" ht="15">
      <c r="A26" s="15" t="s">
        <v>27</v>
      </c>
      <c r="B26" s="15" t="s">
        <v>28</v>
      </c>
      <c r="C26" s="15" t="s">
        <v>29</v>
      </c>
      <c r="D26" s="15" t="s">
        <v>30</v>
      </c>
      <c r="E26" s="15" t="s">
        <v>144</v>
      </c>
    </row>
    <row r="27" spans="1:5" ht="12.75">
      <c r="A27" s="12" t="s">
        <v>170</v>
      </c>
      <c r="B27" s="4" t="s">
        <v>83</v>
      </c>
      <c r="C27" s="4" t="s">
        <v>124</v>
      </c>
      <c r="D27" s="4" t="s">
        <v>171</v>
      </c>
      <c r="E27" s="16" t="s">
        <v>172</v>
      </c>
    </row>
    <row r="29" spans="1:2" ht="14.25">
      <c r="A29" s="13"/>
      <c r="B29" s="14" t="s">
        <v>26</v>
      </c>
    </row>
    <row r="30" spans="1:5" ht="15">
      <c r="A30" s="15" t="s">
        <v>27</v>
      </c>
      <c r="B30" s="15" t="s">
        <v>28</v>
      </c>
      <c r="C30" s="15" t="s">
        <v>29</v>
      </c>
      <c r="D30" s="15" t="s">
        <v>30</v>
      </c>
      <c r="E30" s="15" t="s">
        <v>144</v>
      </c>
    </row>
    <row r="31" spans="1:5" ht="12.75">
      <c r="A31" s="12" t="s">
        <v>173</v>
      </c>
      <c r="B31" s="4" t="s">
        <v>26</v>
      </c>
      <c r="C31" s="4" t="s">
        <v>159</v>
      </c>
      <c r="D31" s="4" t="s">
        <v>174</v>
      </c>
      <c r="E31" s="16" t="s">
        <v>175</v>
      </c>
    </row>
    <row r="32" spans="1:5" ht="12.75">
      <c r="A32" s="12" t="s">
        <v>176</v>
      </c>
      <c r="B32" s="4" t="s">
        <v>26</v>
      </c>
      <c r="C32" s="4" t="s">
        <v>159</v>
      </c>
      <c r="D32" s="4" t="s">
        <v>177</v>
      </c>
      <c r="E32" s="16" t="s">
        <v>178</v>
      </c>
    </row>
    <row r="33" spans="1:5" ht="12.75">
      <c r="A33" s="12" t="s">
        <v>179</v>
      </c>
      <c r="B33" s="4" t="s">
        <v>26</v>
      </c>
      <c r="C33" s="4" t="s">
        <v>180</v>
      </c>
      <c r="D33" s="4" t="s">
        <v>181</v>
      </c>
      <c r="E33" s="16" t="s">
        <v>182</v>
      </c>
    </row>
  </sheetData>
  <sheetProtection/>
  <mergeCells count="14">
    <mergeCell ref="K3:K4"/>
    <mergeCell ref="A5:J5"/>
    <mergeCell ref="A8:J8"/>
    <mergeCell ref="A12:J12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4" sqref="E14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1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5" t="s">
        <v>183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4</v>
      </c>
      <c r="C3" s="53" t="s">
        <v>5</v>
      </c>
      <c r="D3" s="43" t="s">
        <v>137</v>
      </c>
      <c r="E3" s="43" t="s">
        <v>3</v>
      </c>
      <c r="F3" s="43" t="s">
        <v>6</v>
      </c>
      <c r="G3" s="43" t="s">
        <v>35</v>
      </c>
      <c r="H3" s="43"/>
      <c r="I3" s="43" t="s">
        <v>38</v>
      </c>
      <c r="J3" s="43" t="s">
        <v>2</v>
      </c>
      <c r="K3" s="54" t="s">
        <v>1</v>
      </c>
    </row>
    <row r="4" spans="1:11" s="1" customFormat="1" ht="21" customHeight="1" thickBot="1">
      <c r="A4" s="52"/>
      <c r="B4" s="44"/>
      <c r="C4" s="44"/>
      <c r="D4" s="44"/>
      <c r="E4" s="44"/>
      <c r="F4" s="44"/>
      <c r="G4" s="6" t="s">
        <v>36</v>
      </c>
      <c r="H4" s="17" t="s">
        <v>37</v>
      </c>
      <c r="I4" s="44"/>
      <c r="J4" s="44"/>
      <c r="K4" s="55"/>
    </row>
    <row r="5" spans="1:10" ht="15">
      <c r="A5" s="42" t="s">
        <v>184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7" t="s">
        <v>185</v>
      </c>
      <c r="B6" s="7" t="s">
        <v>186</v>
      </c>
      <c r="C6" s="7" t="s">
        <v>187</v>
      </c>
      <c r="D6" s="7" t="str">
        <f>"0,7513"</f>
        <v>0,7513</v>
      </c>
      <c r="E6" s="7" t="s">
        <v>14</v>
      </c>
      <c r="F6" s="7" t="s">
        <v>15</v>
      </c>
      <c r="G6" s="8" t="s">
        <v>188</v>
      </c>
      <c r="H6" s="18" t="s">
        <v>189</v>
      </c>
      <c r="I6" s="7" t="str">
        <f>"2712,5"</f>
        <v>2712,5</v>
      </c>
      <c r="J6" s="8" t="str">
        <f>"2037,9012"</f>
        <v>2037,9012</v>
      </c>
      <c r="K6" s="7" t="s">
        <v>18</v>
      </c>
    </row>
    <row r="8" spans="5:6" ht="15">
      <c r="E8" s="9" t="s">
        <v>19</v>
      </c>
      <c r="F8" s="33" t="s">
        <v>743</v>
      </c>
    </row>
    <row r="9" spans="5:6" ht="15">
      <c r="E9" s="9" t="s">
        <v>20</v>
      </c>
      <c r="F9" s="33" t="s">
        <v>744</v>
      </c>
    </row>
    <row r="10" spans="5:6" ht="15">
      <c r="E10" s="9" t="s">
        <v>21</v>
      </c>
      <c r="F10" s="33" t="s">
        <v>743</v>
      </c>
    </row>
    <row r="11" spans="5:6" ht="15">
      <c r="E11" s="9" t="s">
        <v>22</v>
      </c>
      <c r="F11" s="33" t="s">
        <v>690</v>
      </c>
    </row>
    <row r="12" spans="5:6" ht="15">
      <c r="E12" s="9" t="s">
        <v>22</v>
      </c>
      <c r="F12" s="33" t="s">
        <v>376</v>
      </c>
    </row>
    <row r="13" spans="5:6" ht="15">
      <c r="E13" s="9" t="s">
        <v>23</v>
      </c>
      <c r="F13" s="33" t="s">
        <v>359</v>
      </c>
    </row>
    <row r="14" ht="15">
      <c r="E14" s="9"/>
    </row>
    <row r="16" spans="1:2" ht="18">
      <c r="A16" s="10" t="s">
        <v>24</v>
      </c>
      <c r="B16" s="10"/>
    </row>
    <row r="17" spans="1:2" ht="15">
      <c r="A17" s="11" t="s">
        <v>80</v>
      </c>
      <c r="B17" s="11"/>
    </row>
    <row r="18" spans="1:2" ht="14.25">
      <c r="A18" s="13"/>
      <c r="B18" s="14" t="s">
        <v>26</v>
      </c>
    </row>
    <row r="19" spans="1:5" ht="15">
      <c r="A19" s="15" t="s">
        <v>27</v>
      </c>
      <c r="B19" s="15" t="s">
        <v>28</v>
      </c>
      <c r="C19" s="15" t="s">
        <v>29</v>
      </c>
      <c r="D19" s="15" t="s">
        <v>30</v>
      </c>
      <c r="E19" s="15" t="s">
        <v>144</v>
      </c>
    </row>
    <row r="20" spans="1:5" ht="12.75">
      <c r="A20" s="12" t="s">
        <v>190</v>
      </c>
      <c r="B20" s="4" t="s">
        <v>26</v>
      </c>
      <c r="C20" s="4" t="s">
        <v>191</v>
      </c>
      <c r="D20" s="4" t="s">
        <v>192</v>
      </c>
      <c r="E20" s="16" t="s">
        <v>193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F69" sqref="F69:F74"/>
    </sheetView>
  </sheetViews>
  <sheetFormatPr defaultColWidth="9.1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62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5" t="s">
        <v>194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4</v>
      </c>
      <c r="C3" s="53" t="s">
        <v>5</v>
      </c>
      <c r="D3" s="43" t="s">
        <v>195</v>
      </c>
      <c r="E3" s="43" t="s">
        <v>3</v>
      </c>
      <c r="F3" s="43" t="s">
        <v>6</v>
      </c>
      <c r="G3" s="43" t="s">
        <v>196</v>
      </c>
      <c r="H3" s="43"/>
      <c r="I3" s="43"/>
      <c r="J3" s="43"/>
      <c r="K3" s="43" t="s">
        <v>197</v>
      </c>
      <c r="L3" s="43" t="s">
        <v>2</v>
      </c>
      <c r="M3" s="54" t="s">
        <v>1</v>
      </c>
    </row>
    <row r="4" spans="1:13" s="1" customFormat="1" ht="21" customHeight="1" thickBot="1">
      <c r="A4" s="52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198</v>
      </c>
      <c r="K4" s="44"/>
      <c r="L4" s="44"/>
      <c r="M4" s="55"/>
    </row>
    <row r="5" spans="1:12" ht="15">
      <c r="A5" s="42" t="s">
        <v>138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20" t="s">
        <v>199</v>
      </c>
      <c r="B6" s="20" t="s">
        <v>200</v>
      </c>
      <c r="C6" s="20" t="s">
        <v>201</v>
      </c>
      <c r="D6" s="20" t="str">
        <f>"1,0575"</f>
        <v>1,0575</v>
      </c>
      <c r="E6" s="20" t="s">
        <v>14</v>
      </c>
      <c r="F6" s="20" t="s">
        <v>15</v>
      </c>
      <c r="G6" s="21" t="s">
        <v>43</v>
      </c>
      <c r="H6" s="29" t="s">
        <v>202</v>
      </c>
      <c r="I6" s="29" t="s">
        <v>202</v>
      </c>
      <c r="J6" s="29"/>
      <c r="K6" s="20" t="str">
        <f>"55,0"</f>
        <v>55,0</v>
      </c>
      <c r="L6" s="21" t="str">
        <f>"58,1625"</f>
        <v>58,1625</v>
      </c>
      <c r="M6" s="20" t="s">
        <v>18</v>
      </c>
    </row>
    <row r="7" spans="1:13" ht="12.75">
      <c r="A7" s="26" t="s">
        <v>203</v>
      </c>
      <c r="B7" s="26" t="s">
        <v>140</v>
      </c>
      <c r="C7" s="26" t="s">
        <v>141</v>
      </c>
      <c r="D7" s="26" t="str">
        <f>"1,0345"</f>
        <v>1,0345</v>
      </c>
      <c r="E7" s="26" t="s">
        <v>14</v>
      </c>
      <c r="F7" s="26" t="s">
        <v>142</v>
      </c>
      <c r="G7" s="30" t="s">
        <v>204</v>
      </c>
      <c r="H7" s="30" t="s">
        <v>204</v>
      </c>
      <c r="I7" s="30" t="s">
        <v>204</v>
      </c>
      <c r="J7" s="30"/>
      <c r="K7" s="26" t="str">
        <f>"0.00"</f>
        <v>0.00</v>
      </c>
      <c r="L7" s="27" t="str">
        <f>"0,0000"</f>
        <v>0,0000</v>
      </c>
      <c r="M7" s="26" t="s">
        <v>18</v>
      </c>
    </row>
    <row r="9" spans="1:12" ht="15">
      <c r="A9" s="62" t="s">
        <v>205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3" ht="12.75">
      <c r="A10" s="20" t="s">
        <v>206</v>
      </c>
      <c r="B10" s="20" t="s">
        <v>207</v>
      </c>
      <c r="C10" s="20" t="s">
        <v>13</v>
      </c>
      <c r="D10" s="20" t="str">
        <f>"0,9201"</f>
        <v>0,9201</v>
      </c>
      <c r="E10" s="20" t="s">
        <v>14</v>
      </c>
      <c r="F10" s="20" t="s">
        <v>15</v>
      </c>
      <c r="G10" s="29" t="s">
        <v>208</v>
      </c>
      <c r="H10" s="21" t="s">
        <v>208</v>
      </c>
      <c r="I10" s="21" t="s">
        <v>209</v>
      </c>
      <c r="J10" s="29"/>
      <c r="K10" s="20" t="str">
        <f>"65,0"</f>
        <v>65,0</v>
      </c>
      <c r="L10" s="21" t="str">
        <f>"63,3949"</f>
        <v>63,3949</v>
      </c>
      <c r="M10" s="20" t="s">
        <v>18</v>
      </c>
    </row>
    <row r="11" spans="1:13" ht="12.75">
      <c r="A11" s="23" t="s">
        <v>206</v>
      </c>
      <c r="B11" s="23" t="s">
        <v>210</v>
      </c>
      <c r="C11" s="23" t="s">
        <v>13</v>
      </c>
      <c r="D11" s="23" t="str">
        <f>"0,9201"</f>
        <v>0,9201</v>
      </c>
      <c r="E11" s="23" t="s">
        <v>14</v>
      </c>
      <c r="F11" s="23" t="s">
        <v>15</v>
      </c>
      <c r="G11" s="31" t="s">
        <v>208</v>
      </c>
      <c r="H11" s="24" t="s">
        <v>208</v>
      </c>
      <c r="I11" s="24" t="s">
        <v>209</v>
      </c>
      <c r="J11" s="31"/>
      <c r="K11" s="23" t="str">
        <f>"65,0"</f>
        <v>65,0</v>
      </c>
      <c r="L11" s="24" t="str">
        <f>"59,8065"</f>
        <v>59,8065</v>
      </c>
      <c r="M11" s="23" t="s">
        <v>18</v>
      </c>
    </row>
    <row r="12" spans="1:13" ht="12.75">
      <c r="A12" s="26" t="s">
        <v>211</v>
      </c>
      <c r="B12" s="26" t="s">
        <v>212</v>
      </c>
      <c r="C12" s="26" t="s">
        <v>213</v>
      </c>
      <c r="D12" s="26" t="str">
        <f>"0,9133"</f>
        <v>0,9133</v>
      </c>
      <c r="E12" s="26" t="s">
        <v>14</v>
      </c>
      <c r="F12" s="26" t="s">
        <v>15</v>
      </c>
      <c r="G12" s="27" t="s">
        <v>208</v>
      </c>
      <c r="H12" s="30" t="s">
        <v>209</v>
      </c>
      <c r="I12" s="30" t="s">
        <v>209</v>
      </c>
      <c r="J12" s="30"/>
      <c r="K12" s="26" t="str">
        <f>"60,0"</f>
        <v>60,0</v>
      </c>
      <c r="L12" s="27" t="str">
        <f>"54,7980"</f>
        <v>54,7980</v>
      </c>
      <c r="M12" s="26" t="s">
        <v>18</v>
      </c>
    </row>
    <row r="14" spans="1:12" ht="15">
      <c r="A14" s="62" t="s">
        <v>214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" ht="12.75">
      <c r="A15" s="7" t="s">
        <v>215</v>
      </c>
      <c r="B15" s="7" t="s">
        <v>216</v>
      </c>
      <c r="C15" s="7" t="s">
        <v>217</v>
      </c>
      <c r="D15" s="7" t="str">
        <f>"0,8634"</f>
        <v>0,8634</v>
      </c>
      <c r="E15" s="7" t="s">
        <v>14</v>
      </c>
      <c r="F15" s="7" t="s">
        <v>15</v>
      </c>
      <c r="G15" s="8" t="s">
        <v>218</v>
      </c>
      <c r="H15" s="8" t="s">
        <v>43</v>
      </c>
      <c r="I15" s="8" t="s">
        <v>202</v>
      </c>
      <c r="J15" s="32"/>
      <c r="K15" s="7" t="str">
        <f>"57,5"</f>
        <v>57,5</v>
      </c>
      <c r="L15" s="8" t="str">
        <f>"49,6455"</f>
        <v>49,6455</v>
      </c>
      <c r="M15" s="7" t="s">
        <v>18</v>
      </c>
    </row>
    <row r="17" spans="1:12" ht="15">
      <c r="A17" s="62" t="s">
        <v>219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3" ht="12.75">
      <c r="A18" s="20" t="s">
        <v>220</v>
      </c>
      <c r="B18" s="20" t="s">
        <v>221</v>
      </c>
      <c r="C18" s="20" t="s">
        <v>73</v>
      </c>
      <c r="D18" s="20" t="str">
        <f>"0,7852"</f>
        <v>0,7852</v>
      </c>
      <c r="E18" s="20" t="s">
        <v>14</v>
      </c>
      <c r="F18" s="20" t="s">
        <v>15</v>
      </c>
      <c r="G18" s="21" t="s">
        <v>222</v>
      </c>
      <c r="H18" s="29" t="s">
        <v>223</v>
      </c>
      <c r="I18" s="29" t="s">
        <v>223</v>
      </c>
      <c r="J18" s="29"/>
      <c r="K18" s="20" t="str">
        <f>"72,5"</f>
        <v>72,5</v>
      </c>
      <c r="L18" s="21" t="str">
        <f>"56,9270"</f>
        <v>56,9270</v>
      </c>
      <c r="M18" s="20" t="s">
        <v>18</v>
      </c>
    </row>
    <row r="19" spans="1:13" ht="12.75">
      <c r="A19" s="23" t="s">
        <v>224</v>
      </c>
      <c r="B19" s="23" t="s">
        <v>225</v>
      </c>
      <c r="C19" s="23" t="s">
        <v>226</v>
      </c>
      <c r="D19" s="23" t="str">
        <f>"0,8285"</f>
        <v>0,8285</v>
      </c>
      <c r="E19" s="23" t="s">
        <v>14</v>
      </c>
      <c r="F19" s="23" t="s">
        <v>15</v>
      </c>
      <c r="G19" s="24" t="s">
        <v>227</v>
      </c>
      <c r="H19" s="24" t="s">
        <v>228</v>
      </c>
      <c r="I19" s="24" t="s">
        <v>229</v>
      </c>
      <c r="J19" s="31"/>
      <c r="K19" s="23" t="str">
        <f>"70,0"</f>
        <v>70,0</v>
      </c>
      <c r="L19" s="24" t="str">
        <f>"57,9985"</f>
        <v>57,9985</v>
      </c>
      <c r="M19" s="23" t="s">
        <v>18</v>
      </c>
    </row>
    <row r="20" spans="1:13" ht="12.75">
      <c r="A20" s="26" t="s">
        <v>224</v>
      </c>
      <c r="B20" s="26" t="s">
        <v>230</v>
      </c>
      <c r="C20" s="26" t="s">
        <v>226</v>
      </c>
      <c r="D20" s="26" t="str">
        <f>"0,8285"</f>
        <v>0,8285</v>
      </c>
      <c r="E20" s="26" t="s">
        <v>14</v>
      </c>
      <c r="F20" s="26" t="s">
        <v>15</v>
      </c>
      <c r="G20" s="27" t="s">
        <v>227</v>
      </c>
      <c r="H20" s="27" t="s">
        <v>228</v>
      </c>
      <c r="I20" s="27" t="s">
        <v>229</v>
      </c>
      <c r="J20" s="30"/>
      <c r="K20" s="26" t="str">
        <f>"70,0"</f>
        <v>70,0</v>
      </c>
      <c r="L20" s="27" t="str">
        <f>"59,0425"</f>
        <v>59,0425</v>
      </c>
      <c r="M20" s="26" t="s">
        <v>18</v>
      </c>
    </row>
    <row r="22" spans="1:12" ht="15">
      <c r="A22" s="62" t="s">
        <v>205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3" ht="12.75">
      <c r="A23" s="7" t="s">
        <v>231</v>
      </c>
      <c r="B23" s="7" t="s">
        <v>232</v>
      </c>
      <c r="C23" s="7" t="s">
        <v>233</v>
      </c>
      <c r="D23" s="7" t="str">
        <f>"0,8906"</f>
        <v>0,8906</v>
      </c>
      <c r="E23" s="7" t="s">
        <v>14</v>
      </c>
      <c r="F23" s="7" t="s">
        <v>15</v>
      </c>
      <c r="G23" s="8" t="s">
        <v>218</v>
      </c>
      <c r="H23" s="8" t="s">
        <v>202</v>
      </c>
      <c r="I23" s="32" t="s">
        <v>228</v>
      </c>
      <c r="J23" s="32"/>
      <c r="K23" s="7" t="str">
        <f>"57,5"</f>
        <v>57,5</v>
      </c>
      <c r="L23" s="8" t="str">
        <f>"57,8667"</f>
        <v>57,8667</v>
      </c>
      <c r="M23" s="7" t="s">
        <v>18</v>
      </c>
    </row>
    <row r="25" spans="1:12" ht="15">
      <c r="A25" s="62" t="s">
        <v>150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3" ht="12.75">
      <c r="A26" s="20" t="s">
        <v>234</v>
      </c>
      <c r="B26" s="20" t="s">
        <v>235</v>
      </c>
      <c r="C26" s="20" t="s">
        <v>236</v>
      </c>
      <c r="D26" s="20" t="str">
        <f>"0,6839"</f>
        <v>0,6839</v>
      </c>
      <c r="E26" s="20" t="s">
        <v>14</v>
      </c>
      <c r="F26" s="20" t="s">
        <v>15</v>
      </c>
      <c r="G26" s="21" t="s">
        <v>237</v>
      </c>
      <c r="H26" s="21" t="s">
        <v>238</v>
      </c>
      <c r="I26" s="29" t="s">
        <v>239</v>
      </c>
      <c r="J26" s="29"/>
      <c r="K26" s="20" t="str">
        <f>"115,0"</f>
        <v>115,0</v>
      </c>
      <c r="L26" s="21" t="str">
        <f>"81,7944"</f>
        <v>81,7944</v>
      </c>
      <c r="M26" s="20" t="s">
        <v>18</v>
      </c>
    </row>
    <row r="27" spans="1:13" ht="12.75">
      <c r="A27" s="23" t="s">
        <v>240</v>
      </c>
      <c r="B27" s="23" t="s">
        <v>48</v>
      </c>
      <c r="C27" s="23" t="s">
        <v>49</v>
      </c>
      <c r="D27" s="23" t="str">
        <f>"0,6666"</f>
        <v>0,6666</v>
      </c>
      <c r="E27" s="23" t="s">
        <v>14</v>
      </c>
      <c r="F27" s="23" t="s">
        <v>15</v>
      </c>
      <c r="G27" s="31" t="s">
        <v>180</v>
      </c>
      <c r="H27" s="24" t="s">
        <v>241</v>
      </c>
      <c r="I27" s="31" t="s">
        <v>242</v>
      </c>
      <c r="J27" s="31"/>
      <c r="K27" s="23" t="str">
        <f>"120,0"</f>
        <v>120,0</v>
      </c>
      <c r="L27" s="24" t="str">
        <f>"82,3918"</f>
        <v>82,3918</v>
      </c>
      <c r="M27" s="23" t="s">
        <v>18</v>
      </c>
    </row>
    <row r="28" spans="1:13" ht="12.75">
      <c r="A28" s="23" t="s">
        <v>243</v>
      </c>
      <c r="B28" s="23" t="s">
        <v>152</v>
      </c>
      <c r="C28" s="23" t="s">
        <v>153</v>
      </c>
      <c r="D28" s="23" t="str">
        <f>"0,6730"</f>
        <v>0,6730</v>
      </c>
      <c r="E28" s="23" t="s">
        <v>14</v>
      </c>
      <c r="F28" s="23" t="s">
        <v>142</v>
      </c>
      <c r="G28" s="24" t="s">
        <v>180</v>
      </c>
      <c r="H28" s="24" t="s">
        <v>238</v>
      </c>
      <c r="I28" s="31" t="s">
        <v>241</v>
      </c>
      <c r="J28" s="31"/>
      <c r="K28" s="23" t="str">
        <f>"115,0"</f>
        <v>115,0</v>
      </c>
      <c r="L28" s="24" t="str">
        <f>"77,3950"</f>
        <v>77,3950</v>
      </c>
      <c r="M28" s="23" t="s">
        <v>18</v>
      </c>
    </row>
    <row r="29" spans="1:13" ht="12.75">
      <c r="A29" s="26" t="s">
        <v>244</v>
      </c>
      <c r="B29" s="26" t="s">
        <v>245</v>
      </c>
      <c r="C29" s="26" t="s">
        <v>246</v>
      </c>
      <c r="D29" s="26" t="str">
        <f>"0,6652"</f>
        <v>0,6652</v>
      </c>
      <c r="E29" s="26" t="s">
        <v>14</v>
      </c>
      <c r="F29" s="26" t="s">
        <v>15</v>
      </c>
      <c r="G29" s="27" t="s">
        <v>247</v>
      </c>
      <c r="H29" s="30" t="s">
        <v>248</v>
      </c>
      <c r="I29" s="30" t="s">
        <v>248</v>
      </c>
      <c r="J29" s="30"/>
      <c r="K29" s="26" t="str">
        <f>"140,0"</f>
        <v>140,0</v>
      </c>
      <c r="L29" s="27" t="str">
        <f>"93,1280"</f>
        <v>93,1280</v>
      </c>
      <c r="M29" s="26" t="s">
        <v>18</v>
      </c>
    </row>
    <row r="31" spans="1:12" ht="15">
      <c r="A31" s="62" t="s">
        <v>155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3" ht="12.75">
      <c r="A32" s="20" t="s">
        <v>249</v>
      </c>
      <c r="B32" s="20" t="s">
        <v>250</v>
      </c>
      <c r="C32" s="20" t="s">
        <v>251</v>
      </c>
      <c r="D32" s="20" t="str">
        <f>"0,6251"</f>
        <v>0,6251</v>
      </c>
      <c r="E32" s="20" t="s">
        <v>14</v>
      </c>
      <c r="F32" s="20" t="s">
        <v>15</v>
      </c>
      <c r="G32" s="21" t="s">
        <v>252</v>
      </c>
      <c r="H32" s="21" t="s">
        <v>168</v>
      </c>
      <c r="I32" s="29" t="s">
        <v>180</v>
      </c>
      <c r="J32" s="29"/>
      <c r="K32" s="20" t="str">
        <f>"107,5"</f>
        <v>107,5</v>
      </c>
      <c r="L32" s="21" t="str">
        <f>"79,2939"</f>
        <v>79,2939</v>
      </c>
      <c r="M32" s="20" t="s">
        <v>18</v>
      </c>
    </row>
    <row r="33" spans="1:13" ht="12.75">
      <c r="A33" s="23" t="s">
        <v>253</v>
      </c>
      <c r="B33" s="23" t="s">
        <v>254</v>
      </c>
      <c r="C33" s="23" t="s">
        <v>255</v>
      </c>
      <c r="D33" s="23" t="str">
        <f>"0,6290"</f>
        <v>0,6290</v>
      </c>
      <c r="E33" s="23" t="s">
        <v>14</v>
      </c>
      <c r="F33" s="23" t="s">
        <v>15</v>
      </c>
      <c r="G33" s="24" t="s">
        <v>256</v>
      </c>
      <c r="H33" s="24" t="s">
        <v>247</v>
      </c>
      <c r="I33" s="31" t="s">
        <v>257</v>
      </c>
      <c r="J33" s="31"/>
      <c r="K33" s="23" t="str">
        <f>"140,0"</f>
        <v>140,0</v>
      </c>
      <c r="L33" s="24" t="str">
        <f>"88,0600"</f>
        <v>88,0600</v>
      </c>
      <c r="M33" s="23" t="s">
        <v>18</v>
      </c>
    </row>
    <row r="34" spans="1:13" ht="12.75">
      <c r="A34" s="23" t="s">
        <v>258</v>
      </c>
      <c r="B34" s="23" t="s">
        <v>259</v>
      </c>
      <c r="C34" s="23" t="s">
        <v>158</v>
      </c>
      <c r="D34" s="23" t="str">
        <f>"0,6246"</f>
        <v>0,6246</v>
      </c>
      <c r="E34" s="23" t="s">
        <v>14</v>
      </c>
      <c r="F34" s="23" t="s">
        <v>15</v>
      </c>
      <c r="G34" s="24" t="s">
        <v>256</v>
      </c>
      <c r="H34" s="24" t="s">
        <v>247</v>
      </c>
      <c r="I34" s="31" t="s">
        <v>257</v>
      </c>
      <c r="J34" s="31"/>
      <c r="K34" s="23" t="str">
        <f>"140,0"</f>
        <v>140,0</v>
      </c>
      <c r="L34" s="24" t="str">
        <f>"87,4440"</f>
        <v>87,4440</v>
      </c>
      <c r="M34" s="23" t="s">
        <v>18</v>
      </c>
    </row>
    <row r="35" spans="1:13" ht="12.75">
      <c r="A35" s="23" t="s">
        <v>260</v>
      </c>
      <c r="B35" s="23" t="s">
        <v>261</v>
      </c>
      <c r="C35" s="23" t="s">
        <v>251</v>
      </c>
      <c r="D35" s="23" t="str">
        <f>"0,6251"</f>
        <v>0,6251</v>
      </c>
      <c r="E35" s="23" t="s">
        <v>14</v>
      </c>
      <c r="F35" s="23" t="s">
        <v>15</v>
      </c>
      <c r="G35" s="31" t="s">
        <v>262</v>
      </c>
      <c r="H35" s="31" t="s">
        <v>263</v>
      </c>
      <c r="I35" s="31" t="s">
        <v>263</v>
      </c>
      <c r="J35" s="31"/>
      <c r="K35" s="23" t="str">
        <f>"0.00"</f>
        <v>0.00</v>
      </c>
      <c r="L35" s="24" t="str">
        <f>"0,0000"</f>
        <v>0,0000</v>
      </c>
      <c r="M35" s="23" t="s">
        <v>18</v>
      </c>
    </row>
    <row r="36" spans="1:13" ht="12.75">
      <c r="A36" s="23" t="s">
        <v>264</v>
      </c>
      <c r="B36" s="23" t="s">
        <v>265</v>
      </c>
      <c r="C36" s="23" t="s">
        <v>266</v>
      </c>
      <c r="D36" s="23" t="str">
        <f>"0,6358"</f>
        <v>0,6358</v>
      </c>
      <c r="E36" s="23" t="s">
        <v>14</v>
      </c>
      <c r="F36" s="23" t="s">
        <v>15</v>
      </c>
      <c r="G36" s="24" t="s">
        <v>267</v>
      </c>
      <c r="H36" s="24" t="s">
        <v>263</v>
      </c>
      <c r="I36" s="24" t="s">
        <v>268</v>
      </c>
      <c r="J36" s="31" t="s">
        <v>269</v>
      </c>
      <c r="K36" s="23" t="str">
        <f>"172,5"</f>
        <v>172,5</v>
      </c>
      <c r="L36" s="24" t="str">
        <f>"110,0045"</f>
        <v>110,0045</v>
      </c>
      <c r="M36" s="23" t="s">
        <v>18</v>
      </c>
    </row>
    <row r="37" spans="1:13" ht="12.75">
      <c r="A37" s="26" t="s">
        <v>270</v>
      </c>
      <c r="B37" s="26" t="s">
        <v>271</v>
      </c>
      <c r="C37" s="26" t="s">
        <v>272</v>
      </c>
      <c r="D37" s="26" t="str">
        <f>"0,6241"</f>
        <v>0,6241</v>
      </c>
      <c r="E37" s="26" t="s">
        <v>14</v>
      </c>
      <c r="F37" s="26" t="s">
        <v>15</v>
      </c>
      <c r="G37" s="30" t="s">
        <v>273</v>
      </c>
      <c r="H37" s="27" t="s">
        <v>273</v>
      </c>
      <c r="I37" s="30" t="s">
        <v>274</v>
      </c>
      <c r="J37" s="30"/>
      <c r="K37" s="26" t="str">
        <f>"145,0"</f>
        <v>145,0</v>
      </c>
      <c r="L37" s="27" t="str">
        <f>"143,8863"</f>
        <v>143,8863</v>
      </c>
      <c r="M37" s="26" t="s">
        <v>18</v>
      </c>
    </row>
    <row r="39" spans="1:12" ht="15">
      <c r="A39" s="62" t="s">
        <v>184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3" ht="12.75">
      <c r="A40" s="20" t="s">
        <v>122</v>
      </c>
      <c r="B40" s="20" t="s">
        <v>123</v>
      </c>
      <c r="C40" s="20" t="s">
        <v>62</v>
      </c>
      <c r="D40" s="20" t="str">
        <f>"0,5853"</f>
        <v>0,5853</v>
      </c>
      <c r="E40" s="20" t="s">
        <v>14</v>
      </c>
      <c r="F40" s="20" t="s">
        <v>15</v>
      </c>
      <c r="G40" s="21" t="s">
        <v>275</v>
      </c>
      <c r="H40" s="21" t="s">
        <v>276</v>
      </c>
      <c r="I40" s="21" t="s">
        <v>277</v>
      </c>
      <c r="J40" s="29"/>
      <c r="K40" s="20" t="str">
        <f>"162,5"</f>
        <v>162,5</v>
      </c>
      <c r="L40" s="21" t="str">
        <f>"95,1113"</f>
        <v>95,1113</v>
      </c>
      <c r="M40" s="20" t="s">
        <v>18</v>
      </c>
    </row>
    <row r="41" spans="1:13" ht="12.75">
      <c r="A41" s="23" t="s">
        <v>278</v>
      </c>
      <c r="B41" s="23" t="s">
        <v>279</v>
      </c>
      <c r="C41" s="23" t="s">
        <v>280</v>
      </c>
      <c r="D41" s="23" t="str">
        <f>"0,5918"</f>
        <v>0,5918</v>
      </c>
      <c r="E41" s="23" t="s">
        <v>14</v>
      </c>
      <c r="F41" s="23" t="s">
        <v>15</v>
      </c>
      <c r="G41" s="24" t="s">
        <v>248</v>
      </c>
      <c r="H41" s="24" t="s">
        <v>275</v>
      </c>
      <c r="I41" s="31" t="s">
        <v>276</v>
      </c>
      <c r="J41" s="31"/>
      <c r="K41" s="23" t="str">
        <f>"155,0"</f>
        <v>155,0</v>
      </c>
      <c r="L41" s="24" t="str">
        <f>"91,7290"</f>
        <v>91,7290</v>
      </c>
      <c r="M41" s="23" t="s">
        <v>18</v>
      </c>
    </row>
    <row r="42" spans="1:13" ht="12.75">
      <c r="A42" s="23" t="s">
        <v>281</v>
      </c>
      <c r="B42" s="23" t="s">
        <v>282</v>
      </c>
      <c r="C42" s="23" t="s">
        <v>283</v>
      </c>
      <c r="D42" s="23" t="str">
        <f>"0,5885"</f>
        <v>0,5885</v>
      </c>
      <c r="E42" s="23" t="s">
        <v>14</v>
      </c>
      <c r="F42" s="23" t="s">
        <v>15</v>
      </c>
      <c r="G42" s="24" t="s">
        <v>273</v>
      </c>
      <c r="H42" s="31" t="s">
        <v>248</v>
      </c>
      <c r="I42" s="31" t="s">
        <v>248</v>
      </c>
      <c r="J42" s="31"/>
      <c r="K42" s="23" t="str">
        <f>"145,0"</f>
        <v>145,0</v>
      </c>
      <c r="L42" s="24" t="str">
        <f>"87,0392"</f>
        <v>87,0392</v>
      </c>
      <c r="M42" s="23" t="s">
        <v>18</v>
      </c>
    </row>
    <row r="43" spans="1:13" ht="12.75">
      <c r="A43" s="23" t="s">
        <v>284</v>
      </c>
      <c r="B43" s="23" t="s">
        <v>285</v>
      </c>
      <c r="C43" s="23" t="s">
        <v>286</v>
      </c>
      <c r="D43" s="23" t="str">
        <f>"0,6117"</f>
        <v>0,6117</v>
      </c>
      <c r="E43" s="23" t="s">
        <v>14</v>
      </c>
      <c r="F43" s="23" t="s">
        <v>15</v>
      </c>
      <c r="G43" s="24" t="s">
        <v>287</v>
      </c>
      <c r="H43" s="31" t="s">
        <v>273</v>
      </c>
      <c r="I43" s="31" t="s">
        <v>273</v>
      </c>
      <c r="J43" s="31"/>
      <c r="K43" s="23" t="str">
        <f>"135,0"</f>
        <v>135,0</v>
      </c>
      <c r="L43" s="24" t="str">
        <f>"82,5795"</f>
        <v>82,5795</v>
      </c>
      <c r="M43" s="23" t="s">
        <v>18</v>
      </c>
    </row>
    <row r="44" spans="1:13" ht="12.75">
      <c r="A44" s="23" t="s">
        <v>288</v>
      </c>
      <c r="B44" s="23" t="s">
        <v>289</v>
      </c>
      <c r="C44" s="23" t="s">
        <v>290</v>
      </c>
      <c r="D44" s="23" t="str">
        <f>"0,5901"</f>
        <v>0,5901</v>
      </c>
      <c r="E44" s="23" t="s">
        <v>14</v>
      </c>
      <c r="F44" s="23" t="s">
        <v>15</v>
      </c>
      <c r="G44" s="24" t="s">
        <v>248</v>
      </c>
      <c r="H44" s="24" t="s">
        <v>275</v>
      </c>
      <c r="I44" s="31" t="s">
        <v>291</v>
      </c>
      <c r="J44" s="31"/>
      <c r="K44" s="23" t="str">
        <f>"155,0"</f>
        <v>155,0</v>
      </c>
      <c r="L44" s="24" t="str">
        <f>"91,4655"</f>
        <v>91,4655</v>
      </c>
      <c r="M44" s="23" t="s">
        <v>18</v>
      </c>
    </row>
    <row r="45" spans="1:13" ht="12.75">
      <c r="A45" s="23" t="s">
        <v>292</v>
      </c>
      <c r="B45" s="23" t="s">
        <v>293</v>
      </c>
      <c r="C45" s="23" t="s">
        <v>294</v>
      </c>
      <c r="D45" s="23" t="str">
        <f>"0,5893"</f>
        <v>0,5893</v>
      </c>
      <c r="E45" s="23" t="s">
        <v>14</v>
      </c>
      <c r="F45" s="23" t="s">
        <v>15</v>
      </c>
      <c r="G45" s="24" t="s">
        <v>247</v>
      </c>
      <c r="H45" s="24" t="s">
        <v>275</v>
      </c>
      <c r="I45" s="31" t="s">
        <v>276</v>
      </c>
      <c r="J45" s="31"/>
      <c r="K45" s="23" t="str">
        <f>"155,0"</f>
        <v>155,0</v>
      </c>
      <c r="L45" s="24" t="str">
        <f>"91,3415"</f>
        <v>91,3415</v>
      </c>
      <c r="M45" s="23" t="s">
        <v>18</v>
      </c>
    </row>
    <row r="46" spans="1:13" ht="12.75">
      <c r="A46" s="26" t="s">
        <v>295</v>
      </c>
      <c r="B46" s="26" t="s">
        <v>296</v>
      </c>
      <c r="C46" s="26" t="s">
        <v>297</v>
      </c>
      <c r="D46" s="26" t="str">
        <f>"0,6009"</f>
        <v>0,6009</v>
      </c>
      <c r="E46" s="26" t="s">
        <v>14</v>
      </c>
      <c r="F46" s="26" t="s">
        <v>15</v>
      </c>
      <c r="G46" s="27" t="s">
        <v>256</v>
      </c>
      <c r="H46" s="27" t="s">
        <v>298</v>
      </c>
      <c r="I46" s="30" t="s">
        <v>247</v>
      </c>
      <c r="J46" s="30"/>
      <c r="K46" s="26" t="str">
        <f>"137,5"</f>
        <v>137,5</v>
      </c>
      <c r="L46" s="27" t="str">
        <f>"82,6237"</f>
        <v>82,6237</v>
      </c>
      <c r="M46" s="26" t="s">
        <v>18</v>
      </c>
    </row>
    <row r="48" spans="1:12" ht="15">
      <c r="A48" s="62" t="s">
        <v>299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3" ht="12.75">
      <c r="A49" s="20" t="s">
        <v>300</v>
      </c>
      <c r="B49" s="20" t="s">
        <v>301</v>
      </c>
      <c r="C49" s="20" t="s">
        <v>302</v>
      </c>
      <c r="D49" s="20" t="str">
        <f>"0,5761"</f>
        <v>0,5761</v>
      </c>
      <c r="E49" s="20" t="s">
        <v>14</v>
      </c>
      <c r="F49" s="20" t="s">
        <v>15</v>
      </c>
      <c r="G49" s="21" t="s">
        <v>275</v>
      </c>
      <c r="H49" s="21" t="s">
        <v>277</v>
      </c>
      <c r="I49" s="29" t="s">
        <v>262</v>
      </c>
      <c r="J49" s="29"/>
      <c r="K49" s="20" t="str">
        <f>"162,5"</f>
        <v>162,5</v>
      </c>
      <c r="L49" s="21" t="str">
        <f>"94,5524"</f>
        <v>94,5524</v>
      </c>
      <c r="M49" s="20" t="s">
        <v>18</v>
      </c>
    </row>
    <row r="50" spans="1:13" ht="12.75">
      <c r="A50" s="23" t="s">
        <v>303</v>
      </c>
      <c r="B50" s="23" t="s">
        <v>304</v>
      </c>
      <c r="C50" s="23" t="s">
        <v>305</v>
      </c>
      <c r="D50" s="23" t="str">
        <f>"0,5565"</f>
        <v>0,5565</v>
      </c>
      <c r="E50" s="23" t="s">
        <v>14</v>
      </c>
      <c r="F50" s="23" t="s">
        <v>15</v>
      </c>
      <c r="G50" s="31" t="s">
        <v>306</v>
      </c>
      <c r="H50" s="24" t="s">
        <v>306</v>
      </c>
      <c r="I50" s="31" t="s">
        <v>248</v>
      </c>
      <c r="J50" s="31"/>
      <c r="K50" s="23" t="str">
        <f>"142,5"</f>
        <v>142,5</v>
      </c>
      <c r="L50" s="24" t="str">
        <f>"79,3013"</f>
        <v>79,3013</v>
      </c>
      <c r="M50" s="23" t="s">
        <v>18</v>
      </c>
    </row>
    <row r="51" spans="1:13" ht="12.75">
      <c r="A51" s="23" t="s">
        <v>307</v>
      </c>
      <c r="B51" s="23" t="s">
        <v>308</v>
      </c>
      <c r="C51" s="23" t="s">
        <v>309</v>
      </c>
      <c r="D51" s="23" t="str">
        <f>"0,5803"</f>
        <v>0,5803</v>
      </c>
      <c r="E51" s="23" t="s">
        <v>14</v>
      </c>
      <c r="F51" s="23" t="s">
        <v>15</v>
      </c>
      <c r="G51" s="24" t="s">
        <v>277</v>
      </c>
      <c r="H51" s="24" t="s">
        <v>267</v>
      </c>
      <c r="I51" s="31" t="s">
        <v>268</v>
      </c>
      <c r="J51" s="31"/>
      <c r="K51" s="23" t="str">
        <f>"167,5"</f>
        <v>167,5</v>
      </c>
      <c r="L51" s="24" t="str">
        <f>"108,5633"</f>
        <v>108,5633</v>
      </c>
      <c r="M51" s="23" t="s">
        <v>18</v>
      </c>
    </row>
    <row r="52" spans="1:13" ht="12.75">
      <c r="A52" s="23" t="s">
        <v>310</v>
      </c>
      <c r="B52" s="23" t="s">
        <v>311</v>
      </c>
      <c r="C52" s="23" t="s">
        <v>312</v>
      </c>
      <c r="D52" s="23" t="str">
        <f>"0,5619"</f>
        <v>0,5619</v>
      </c>
      <c r="E52" s="23" t="s">
        <v>14</v>
      </c>
      <c r="F52" s="23" t="s">
        <v>15</v>
      </c>
      <c r="G52" s="24" t="s">
        <v>256</v>
      </c>
      <c r="H52" s="31" t="s">
        <v>306</v>
      </c>
      <c r="I52" s="31" t="s">
        <v>306</v>
      </c>
      <c r="J52" s="31"/>
      <c r="K52" s="23" t="str">
        <f>"130,0"</f>
        <v>130,0</v>
      </c>
      <c r="L52" s="24" t="str">
        <f>"73,0470"</f>
        <v>73,0470</v>
      </c>
      <c r="M52" s="23" t="s">
        <v>18</v>
      </c>
    </row>
    <row r="53" spans="1:13" ht="12.75">
      <c r="A53" s="26" t="s">
        <v>313</v>
      </c>
      <c r="B53" s="26" t="s">
        <v>314</v>
      </c>
      <c r="C53" s="26" t="s">
        <v>315</v>
      </c>
      <c r="D53" s="26" t="str">
        <f>"0,5701"</f>
        <v>0,5701</v>
      </c>
      <c r="E53" s="26" t="s">
        <v>14</v>
      </c>
      <c r="F53" s="26" t="s">
        <v>15</v>
      </c>
      <c r="G53" s="27" t="s">
        <v>287</v>
      </c>
      <c r="H53" s="27" t="s">
        <v>273</v>
      </c>
      <c r="I53" s="30" t="s">
        <v>257</v>
      </c>
      <c r="J53" s="30"/>
      <c r="K53" s="26" t="str">
        <f>"145,0"</f>
        <v>145,0</v>
      </c>
      <c r="L53" s="27" t="str">
        <f>"105,8932"</f>
        <v>105,8932</v>
      </c>
      <c r="M53" s="26" t="s">
        <v>18</v>
      </c>
    </row>
    <row r="55" spans="1:12" ht="15">
      <c r="A55" s="62" t="s">
        <v>164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3" ht="12.75">
      <c r="A56" s="20" t="s">
        <v>316</v>
      </c>
      <c r="B56" s="20" t="s">
        <v>317</v>
      </c>
      <c r="C56" s="20" t="s">
        <v>318</v>
      </c>
      <c r="D56" s="20" t="str">
        <f>"0,5384"</f>
        <v>0,5384</v>
      </c>
      <c r="E56" s="20" t="s">
        <v>14</v>
      </c>
      <c r="F56" s="20" t="s">
        <v>15</v>
      </c>
      <c r="G56" s="21" t="s">
        <v>269</v>
      </c>
      <c r="H56" s="21" t="s">
        <v>319</v>
      </c>
      <c r="I56" s="29" t="s">
        <v>320</v>
      </c>
      <c r="J56" s="29"/>
      <c r="K56" s="20" t="str">
        <f>"185,0"</f>
        <v>185,0</v>
      </c>
      <c r="L56" s="21" t="str">
        <f>"99,6040"</f>
        <v>99,6040</v>
      </c>
      <c r="M56" s="20" t="s">
        <v>18</v>
      </c>
    </row>
    <row r="57" spans="1:13" ht="12.75">
      <c r="A57" s="23" t="s">
        <v>321</v>
      </c>
      <c r="B57" s="23" t="s">
        <v>322</v>
      </c>
      <c r="C57" s="23" t="s">
        <v>323</v>
      </c>
      <c r="D57" s="23" t="str">
        <f>"0,5378"</f>
        <v>0,5378</v>
      </c>
      <c r="E57" s="23" t="s">
        <v>14</v>
      </c>
      <c r="F57" s="23" t="s">
        <v>15</v>
      </c>
      <c r="G57" s="31" t="s">
        <v>291</v>
      </c>
      <c r="H57" s="24" t="s">
        <v>277</v>
      </c>
      <c r="I57" s="31" t="s">
        <v>267</v>
      </c>
      <c r="J57" s="31"/>
      <c r="K57" s="23" t="str">
        <f>"162,5"</f>
        <v>162,5</v>
      </c>
      <c r="L57" s="24" t="str">
        <f>"87,3925"</f>
        <v>87,3925</v>
      </c>
      <c r="M57" s="23" t="s">
        <v>18</v>
      </c>
    </row>
    <row r="58" spans="1:13" ht="12.75">
      <c r="A58" s="26" t="s">
        <v>324</v>
      </c>
      <c r="B58" s="26" t="s">
        <v>166</v>
      </c>
      <c r="C58" s="26" t="s">
        <v>167</v>
      </c>
      <c r="D58" s="26" t="str">
        <f>"0,5401"</f>
        <v>0,5401</v>
      </c>
      <c r="E58" s="26" t="s">
        <v>14</v>
      </c>
      <c r="F58" s="26" t="s">
        <v>15</v>
      </c>
      <c r="G58" s="30" t="s">
        <v>248</v>
      </c>
      <c r="H58" s="30" t="s">
        <v>248</v>
      </c>
      <c r="I58" s="30" t="s">
        <v>248</v>
      </c>
      <c r="J58" s="30"/>
      <c r="K58" s="26" t="str">
        <f>"0.00"</f>
        <v>0.00</v>
      </c>
      <c r="L58" s="27" t="str">
        <f>"0,0000"</f>
        <v>0,0000</v>
      </c>
      <c r="M58" s="26" t="s">
        <v>18</v>
      </c>
    </row>
    <row r="60" spans="1:12" ht="15">
      <c r="A60" s="62" t="s">
        <v>325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3" ht="12.75">
      <c r="A61" s="20" t="s">
        <v>326</v>
      </c>
      <c r="B61" s="20" t="s">
        <v>327</v>
      </c>
      <c r="C61" s="20" t="s">
        <v>328</v>
      </c>
      <c r="D61" s="20" t="str">
        <f>"0,5108"</f>
        <v>0,5108</v>
      </c>
      <c r="E61" s="20" t="s">
        <v>14</v>
      </c>
      <c r="F61" s="20" t="s">
        <v>15</v>
      </c>
      <c r="G61" s="21" t="s">
        <v>329</v>
      </c>
      <c r="H61" s="21" t="s">
        <v>330</v>
      </c>
      <c r="I61" s="29" t="s">
        <v>331</v>
      </c>
      <c r="J61" s="29"/>
      <c r="K61" s="20" t="str">
        <f>"230,0"</f>
        <v>230,0</v>
      </c>
      <c r="L61" s="21" t="str">
        <f>"117,4840"</f>
        <v>117,4840</v>
      </c>
      <c r="M61" s="20" t="s">
        <v>18</v>
      </c>
    </row>
    <row r="62" spans="1:13" ht="12.75">
      <c r="A62" s="23" t="s">
        <v>332</v>
      </c>
      <c r="B62" s="23" t="s">
        <v>333</v>
      </c>
      <c r="C62" s="23" t="s">
        <v>334</v>
      </c>
      <c r="D62" s="23" t="str">
        <f>"0,5056"</f>
        <v>0,5056</v>
      </c>
      <c r="E62" s="23" t="s">
        <v>14</v>
      </c>
      <c r="F62" s="23" t="s">
        <v>15</v>
      </c>
      <c r="G62" s="24" t="s">
        <v>335</v>
      </c>
      <c r="H62" s="31" t="s">
        <v>336</v>
      </c>
      <c r="I62" s="31" t="s">
        <v>336</v>
      </c>
      <c r="J62" s="31"/>
      <c r="K62" s="23" t="str">
        <f>"222,5"</f>
        <v>222,5</v>
      </c>
      <c r="L62" s="24" t="str">
        <f>"112,4938"</f>
        <v>112,4938</v>
      </c>
      <c r="M62" s="23" t="s">
        <v>18</v>
      </c>
    </row>
    <row r="63" spans="1:13" ht="12.75">
      <c r="A63" s="26" t="s">
        <v>337</v>
      </c>
      <c r="B63" s="26" t="s">
        <v>338</v>
      </c>
      <c r="C63" s="26" t="s">
        <v>339</v>
      </c>
      <c r="D63" s="26" t="str">
        <f>"0,5100"</f>
        <v>0,5100</v>
      </c>
      <c r="E63" s="26" t="s">
        <v>14</v>
      </c>
      <c r="F63" s="26" t="s">
        <v>15</v>
      </c>
      <c r="G63" s="27" t="s">
        <v>262</v>
      </c>
      <c r="H63" s="30" t="s">
        <v>269</v>
      </c>
      <c r="I63" s="30" t="s">
        <v>269</v>
      </c>
      <c r="J63" s="30"/>
      <c r="K63" s="26" t="str">
        <f>"165,0"</f>
        <v>165,0</v>
      </c>
      <c r="L63" s="27" t="str">
        <f>"84,1434"</f>
        <v>84,1434</v>
      </c>
      <c r="M63" s="26" t="s">
        <v>18</v>
      </c>
    </row>
    <row r="65" spans="1:12" ht="15">
      <c r="A65" s="62" t="s">
        <v>340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3" ht="12.75">
      <c r="A66" s="20" t="s">
        <v>341</v>
      </c>
      <c r="B66" s="20" t="s">
        <v>342</v>
      </c>
      <c r="C66" s="20" t="s">
        <v>343</v>
      </c>
      <c r="D66" s="20" t="str">
        <f>"0,4930"</f>
        <v>0,4930</v>
      </c>
      <c r="E66" s="20" t="s">
        <v>14</v>
      </c>
      <c r="F66" s="20" t="s">
        <v>15</v>
      </c>
      <c r="G66" s="21" t="s">
        <v>263</v>
      </c>
      <c r="H66" s="29" t="s">
        <v>344</v>
      </c>
      <c r="I66" s="21" t="s">
        <v>344</v>
      </c>
      <c r="J66" s="29"/>
      <c r="K66" s="20" t="str">
        <f>"182,5"</f>
        <v>182,5</v>
      </c>
      <c r="L66" s="21" t="str">
        <f>"89,9725"</f>
        <v>89,9725</v>
      </c>
      <c r="M66" s="20" t="s">
        <v>18</v>
      </c>
    </row>
    <row r="67" spans="1:13" ht="12.75">
      <c r="A67" s="26" t="s">
        <v>345</v>
      </c>
      <c r="B67" s="26" t="s">
        <v>346</v>
      </c>
      <c r="C67" s="26" t="s">
        <v>347</v>
      </c>
      <c r="D67" s="26" t="str">
        <f>"0,4826"</f>
        <v>0,4826</v>
      </c>
      <c r="E67" s="26" t="s">
        <v>14</v>
      </c>
      <c r="F67" s="26" t="s">
        <v>15</v>
      </c>
      <c r="G67" s="27" t="s">
        <v>191</v>
      </c>
      <c r="H67" s="27" t="s">
        <v>348</v>
      </c>
      <c r="I67" s="30" t="s">
        <v>252</v>
      </c>
      <c r="J67" s="30"/>
      <c r="K67" s="26" t="str">
        <f>"100,0"</f>
        <v>100,0</v>
      </c>
      <c r="L67" s="27" t="str">
        <f>"66,5988"</f>
        <v>66,5988</v>
      </c>
      <c r="M67" s="26" t="s">
        <v>18</v>
      </c>
    </row>
    <row r="69" spans="5:6" ht="15">
      <c r="E69" s="9" t="s">
        <v>19</v>
      </c>
      <c r="F69" s="33" t="s">
        <v>743</v>
      </c>
    </row>
    <row r="70" spans="5:6" ht="15">
      <c r="E70" s="9" t="s">
        <v>20</v>
      </c>
      <c r="F70" s="33" t="s">
        <v>744</v>
      </c>
    </row>
    <row r="71" spans="5:6" ht="15">
      <c r="E71" s="9" t="s">
        <v>21</v>
      </c>
      <c r="F71" s="33" t="s">
        <v>743</v>
      </c>
    </row>
    <row r="72" spans="5:6" ht="15">
      <c r="E72" s="9" t="s">
        <v>22</v>
      </c>
      <c r="F72" s="33" t="s">
        <v>690</v>
      </c>
    </row>
    <row r="73" spans="5:6" ht="15">
      <c r="E73" s="9" t="s">
        <v>22</v>
      </c>
      <c r="F73" s="33" t="s">
        <v>376</v>
      </c>
    </row>
    <row r="74" spans="5:6" ht="15">
      <c r="E74" s="9" t="s">
        <v>23</v>
      </c>
      <c r="F74" s="33" t="s">
        <v>359</v>
      </c>
    </row>
    <row r="75" ht="15">
      <c r="E75" s="9"/>
    </row>
    <row r="77" spans="1:2" ht="18">
      <c r="A77" s="10" t="s">
        <v>24</v>
      </c>
      <c r="B77" s="10"/>
    </row>
    <row r="78" spans="1:2" ht="15">
      <c r="A78" s="11" t="s">
        <v>25</v>
      </c>
      <c r="B78" s="11"/>
    </row>
    <row r="79" spans="1:2" ht="14.25">
      <c r="A79" s="13"/>
      <c r="B79" s="14" t="s">
        <v>26</v>
      </c>
    </row>
    <row r="80" spans="1:5" ht="15">
      <c r="A80" s="15" t="s">
        <v>27</v>
      </c>
      <c r="B80" s="15" t="s">
        <v>28</v>
      </c>
      <c r="C80" s="15" t="s">
        <v>29</v>
      </c>
      <c r="D80" s="15" t="s">
        <v>30</v>
      </c>
      <c r="E80" s="15" t="s">
        <v>350</v>
      </c>
    </row>
    <row r="81" spans="1:5" ht="12.75">
      <c r="A81" s="12" t="s">
        <v>351</v>
      </c>
      <c r="B81" s="4" t="s">
        <v>26</v>
      </c>
      <c r="C81" s="4" t="s">
        <v>66</v>
      </c>
      <c r="D81" s="4" t="s">
        <v>209</v>
      </c>
      <c r="E81" s="16" t="s">
        <v>356</v>
      </c>
    </row>
    <row r="82" spans="1:5" ht="12.75">
      <c r="A82" s="12" t="s">
        <v>361</v>
      </c>
      <c r="B82" s="4" t="s">
        <v>26</v>
      </c>
      <c r="C82" s="4" t="s">
        <v>146</v>
      </c>
      <c r="D82" s="4" t="s">
        <v>43</v>
      </c>
      <c r="E82" s="16" t="s">
        <v>362</v>
      </c>
    </row>
    <row r="83" spans="1:5" ht="12.75">
      <c r="A83" s="12" t="s">
        <v>354</v>
      </c>
      <c r="B83" s="4" t="s">
        <v>26</v>
      </c>
      <c r="C83" s="4" t="s">
        <v>228</v>
      </c>
      <c r="D83" s="4" t="s">
        <v>229</v>
      </c>
      <c r="E83" s="16" t="s">
        <v>355</v>
      </c>
    </row>
    <row r="84" spans="1:5" ht="12.75">
      <c r="A84" s="12" t="s">
        <v>352</v>
      </c>
      <c r="B84" s="4" t="s">
        <v>26</v>
      </c>
      <c r="C84" s="4" t="s">
        <v>228</v>
      </c>
      <c r="D84" s="4" t="s">
        <v>222</v>
      </c>
      <c r="E84" s="16" t="s">
        <v>353</v>
      </c>
    </row>
    <row r="85" spans="1:5" ht="12.75">
      <c r="A85" s="12" t="s">
        <v>357</v>
      </c>
      <c r="B85" s="4" t="s">
        <v>26</v>
      </c>
      <c r="C85" s="4" t="s">
        <v>66</v>
      </c>
      <c r="D85" s="4" t="s">
        <v>208</v>
      </c>
      <c r="E85" s="16" t="s">
        <v>358</v>
      </c>
    </row>
    <row r="86" spans="1:5" ht="12.75">
      <c r="A86" s="12" t="s">
        <v>359</v>
      </c>
      <c r="B86" s="4" t="s">
        <v>26</v>
      </c>
      <c r="C86" s="4" t="s">
        <v>208</v>
      </c>
      <c r="D86" s="4" t="s">
        <v>202</v>
      </c>
      <c r="E86" s="16" t="s">
        <v>360</v>
      </c>
    </row>
    <row r="89" spans="1:2" ht="15">
      <c r="A89" s="11" t="s">
        <v>80</v>
      </c>
      <c r="B89" s="11"/>
    </row>
    <row r="91" spans="1:2" ht="14.25">
      <c r="A91" s="13"/>
      <c r="B91" s="14" t="s">
        <v>725</v>
      </c>
    </row>
    <row r="92" spans="1:5" ht="15">
      <c r="A92" s="15" t="s">
        <v>27</v>
      </c>
      <c r="B92" s="15" t="s">
        <v>28</v>
      </c>
      <c r="C92" s="15" t="s">
        <v>29</v>
      </c>
      <c r="D92" s="15" t="s">
        <v>30</v>
      </c>
      <c r="E92" s="15" t="s">
        <v>350</v>
      </c>
    </row>
    <row r="93" spans="1:5" ht="12.75">
      <c r="A93" s="12" t="s">
        <v>369</v>
      </c>
      <c r="B93" s="33" t="s">
        <v>724</v>
      </c>
      <c r="C93" s="4" t="s">
        <v>348</v>
      </c>
      <c r="D93" s="4" t="s">
        <v>277</v>
      </c>
      <c r="E93" s="16" t="s">
        <v>370</v>
      </c>
    </row>
    <row r="94" spans="1:5" ht="12.75">
      <c r="A94" s="12" t="s">
        <v>129</v>
      </c>
      <c r="B94" s="33" t="s">
        <v>724</v>
      </c>
      <c r="C94" s="4" t="s">
        <v>191</v>
      </c>
      <c r="D94" s="4" t="s">
        <v>277</v>
      </c>
      <c r="E94" s="16" t="s">
        <v>371</v>
      </c>
    </row>
    <row r="95" spans="1:5" ht="12.75">
      <c r="A95" s="12" t="s">
        <v>372</v>
      </c>
      <c r="B95" s="33" t="s">
        <v>724</v>
      </c>
      <c r="C95" s="4" t="s">
        <v>191</v>
      </c>
      <c r="D95" s="4" t="s">
        <v>275</v>
      </c>
      <c r="E95" s="16" t="s">
        <v>373</v>
      </c>
    </row>
    <row r="96" spans="1:5" ht="12.75">
      <c r="A96" s="12" t="s">
        <v>374</v>
      </c>
      <c r="B96" s="33" t="s">
        <v>724</v>
      </c>
      <c r="C96" s="4" t="s">
        <v>191</v>
      </c>
      <c r="D96" s="4" t="s">
        <v>273</v>
      </c>
      <c r="E96" s="16" t="s">
        <v>375</v>
      </c>
    </row>
    <row r="97" spans="1:5" ht="12.75">
      <c r="A97" s="12" t="s">
        <v>376</v>
      </c>
      <c r="B97" s="33" t="s">
        <v>724</v>
      </c>
      <c r="C97" s="4" t="s">
        <v>159</v>
      </c>
      <c r="D97" s="4" t="s">
        <v>247</v>
      </c>
      <c r="E97" s="16" t="s">
        <v>377</v>
      </c>
    </row>
    <row r="98" spans="1:5" ht="12.75">
      <c r="A98" s="12" t="s">
        <v>378</v>
      </c>
      <c r="B98" s="33" t="s">
        <v>724</v>
      </c>
      <c r="C98" s="4" t="s">
        <v>191</v>
      </c>
      <c r="D98" s="4" t="s">
        <v>287</v>
      </c>
      <c r="E98" s="16" t="s">
        <v>379</v>
      </c>
    </row>
    <row r="99" spans="1:5" ht="12.75">
      <c r="A99" s="12" t="s">
        <v>86</v>
      </c>
      <c r="B99" s="33" t="s">
        <v>724</v>
      </c>
      <c r="C99" s="4" t="s">
        <v>124</v>
      </c>
      <c r="D99" s="4" t="s">
        <v>241</v>
      </c>
      <c r="E99" s="16" t="s">
        <v>380</v>
      </c>
    </row>
    <row r="100" spans="1:5" ht="12.75">
      <c r="A100" s="12" t="s">
        <v>367</v>
      </c>
      <c r="B100" s="33" t="s">
        <v>724</v>
      </c>
      <c r="C100" s="4" t="s">
        <v>124</v>
      </c>
      <c r="D100" s="4" t="s">
        <v>238</v>
      </c>
      <c r="E100" s="16" t="s">
        <v>368</v>
      </c>
    </row>
    <row r="101" spans="1:5" ht="12.75">
      <c r="A101" s="12" t="s">
        <v>363</v>
      </c>
      <c r="B101" s="33" t="s">
        <v>724</v>
      </c>
      <c r="C101" s="4" t="s">
        <v>159</v>
      </c>
      <c r="D101" s="4" t="s">
        <v>168</v>
      </c>
      <c r="E101" s="16" t="s">
        <v>364</v>
      </c>
    </row>
    <row r="102" spans="1:5" ht="12.75">
      <c r="A102" s="12" t="s">
        <v>170</v>
      </c>
      <c r="B102" s="33" t="s">
        <v>724</v>
      </c>
      <c r="C102" s="4" t="s">
        <v>124</v>
      </c>
      <c r="D102" s="4" t="s">
        <v>238</v>
      </c>
      <c r="E102" s="16" t="s">
        <v>381</v>
      </c>
    </row>
    <row r="103" spans="1:5" ht="12.75">
      <c r="A103" s="12" t="s">
        <v>365</v>
      </c>
      <c r="B103" s="33" t="s">
        <v>724</v>
      </c>
      <c r="C103" s="4" t="s">
        <v>66</v>
      </c>
      <c r="D103" s="4" t="s">
        <v>202</v>
      </c>
      <c r="E103" s="16" t="s">
        <v>366</v>
      </c>
    </row>
    <row r="104" spans="1:2" ht="14.25">
      <c r="A104" s="13"/>
      <c r="B104" s="14" t="s">
        <v>26</v>
      </c>
    </row>
    <row r="105" spans="1:5" ht="15">
      <c r="A105" s="15" t="s">
        <v>27</v>
      </c>
      <c r="B105" s="15" t="s">
        <v>28</v>
      </c>
      <c r="C105" s="15" t="s">
        <v>29</v>
      </c>
      <c r="D105" s="15" t="s">
        <v>30</v>
      </c>
      <c r="E105" s="15" t="s">
        <v>350</v>
      </c>
    </row>
    <row r="106" spans="1:5" ht="12.75">
      <c r="A106" s="12" t="s">
        <v>382</v>
      </c>
      <c r="B106" s="4" t="s">
        <v>26</v>
      </c>
      <c r="C106" s="4" t="s">
        <v>247</v>
      </c>
      <c r="D106" s="4" t="s">
        <v>330</v>
      </c>
      <c r="E106" s="16" t="s">
        <v>383</v>
      </c>
    </row>
    <row r="107" spans="1:5" ht="12.75">
      <c r="A107" s="12" t="s">
        <v>384</v>
      </c>
      <c r="B107" s="4" t="s">
        <v>26</v>
      </c>
      <c r="C107" s="4" t="s">
        <v>247</v>
      </c>
      <c r="D107" s="4" t="s">
        <v>335</v>
      </c>
      <c r="E107" s="16" t="s">
        <v>385</v>
      </c>
    </row>
    <row r="108" spans="1:5" ht="12.75">
      <c r="A108" s="12" t="s">
        <v>386</v>
      </c>
      <c r="B108" s="4" t="s">
        <v>26</v>
      </c>
      <c r="C108" s="4" t="s">
        <v>180</v>
      </c>
      <c r="D108" s="33" t="s">
        <v>319</v>
      </c>
      <c r="E108" s="16" t="s">
        <v>387</v>
      </c>
    </row>
    <row r="109" spans="1:5" ht="12.75">
      <c r="A109" s="12" t="s">
        <v>403</v>
      </c>
      <c r="B109" s="4" t="s">
        <v>26</v>
      </c>
      <c r="C109" s="4" t="s">
        <v>124</v>
      </c>
      <c r="D109" s="4" t="s">
        <v>247</v>
      </c>
      <c r="E109" s="16" t="s">
        <v>404</v>
      </c>
    </row>
    <row r="110" spans="1:5" ht="12.75">
      <c r="A110" s="12" t="s">
        <v>395</v>
      </c>
      <c r="B110" s="4" t="s">
        <v>26</v>
      </c>
      <c r="C110" s="4" t="s">
        <v>191</v>
      </c>
      <c r="D110" s="4" t="s">
        <v>275</v>
      </c>
      <c r="E110" s="16" t="s">
        <v>396</v>
      </c>
    </row>
    <row r="111" spans="1:5" ht="12.75">
      <c r="A111" s="12" t="s">
        <v>397</v>
      </c>
      <c r="B111" s="4" t="s">
        <v>26</v>
      </c>
      <c r="C111" s="4" t="s">
        <v>191</v>
      </c>
      <c r="D111" s="4" t="s">
        <v>275</v>
      </c>
      <c r="E111" s="16" t="s">
        <v>398</v>
      </c>
    </row>
    <row r="112" spans="1:5" ht="12.75">
      <c r="A112" s="12" t="s">
        <v>388</v>
      </c>
      <c r="B112" s="4" t="s">
        <v>26</v>
      </c>
      <c r="C112" s="4" t="s">
        <v>389</v>
      </c>
      <c r="D112" s="4" t="s">
        <v>344</v>
      </c>
      <c r="E112" s="16" t="s">
        <v>390</v>
      </c>
    </row>
    <row r="113" spans="1:5" ht="12.75">
      <c r="A113" s="12" t="s">
        <v>401</v>
      </c>
      <c r="B113" s="4" t="s">
        <v>26</v>
      </c>
      <c r="C113" s="4" t="s">
        <v>159</v>
      </c>
      <c r="D113" s="4" t="s">
        <v>247</v>
      </c>
      <c r="E113" s="16" t="s">
        <v>402</v>
      </c>
    </row>
    <row r="114" spans="1:5" ht="12.75">
      <c r="A114" s="12" t="s">
        <v>393</v>
      </c>
      <c r="B114" s="4" t="s">
        <v>26</v>
      </c>
      <c r="C114" s="4" t="s">
        <v>180</v>
      </c>
      <c r="D114" s="4" t="s">
        <v>277</v>
      </c>
      <c r="E114" s="16" t="s">
        <v>394</v>
      </c>
    </row>
    <row r="115" spans="1:5" ht="12.75">
      <c r="A115" s="12" t="s">
        <v>391</v>
      </c>
      <c r="B115" s="4" t="s">
        <v>26</v>
      </c>
      <c r="C115" s="4" t="s">
        <v>247</v>
      </c>
      <c r="D115" s="4" t="s">
        <v>262</v>
      </c>
      <c r="E115" s="16" t="s">
        <v>392</v>
      </c>
    </row>
    <row r="116" spans="1:5" ht="12.75">
      <c r="A116" s="12" t="s">
        <v>405</v>
      </c>
      <c r="B116" s="4" t="s">
        <v>26</v>
      </c>
      <c r="C116" s="4" t="s">
        <v>191</v>
      </c>
      <c r="D116" s="4" t="s">
        <v>298</v>
      </c>
      <c r="E116" s="16" t="s">
        <v>406</v>
      </c>
    </row>
    <row r="117" spans="1:5" ht="12.75">
      <c r="A117" s="12" t="s">
        <v>399</v>
      </c>
      <c r="B117" s="4" t="s">
        <v>26</v>
      </c>
      <c r="C117" s="4" t="s">
        <v>348</v>
      </c>
      <c r="D117" s="4" t="s">
        <v>306</v>
      </c>
      <c r="E117" s="16" t="s">
        <v>400</v>
      </c>
    </row>
    <row r="119" spans="1:2" ht="14.25">
      <c r="A119" s="13"/>
      <c r="B119" s="14" t="s">
        <v>726</v>
      </c>
    </row>
    <row r="120" spans="1:5" ht="15">
      <c r="A120" s="15" t="s">
        <v>27</v>
      </c>
      <c r="B120" s="15" t="s">
        <v>28</v>
      </c>
      <c r="C120" s="15" t="s">
        <v>29</v>
      </c>
      <c r="D120" s="15" t="s">
        <v>30</v>
      </c>
      <c r="E120" s="15" t="s">
        <v>350</v>
      </c>
    </row>
    <row r="121" spans="1:5" ht="12.75">
      <c r="A121" s="12" t="s">
        <v>418</v>
      </c>
      <c r="B121" s="4" t="s">
        <v>417</v>
      </c>
      <c r="C121" s="4" t="s">
        <v>159</v>
      </c>
      <c r="D121" s="4" t="s">
        <v>273</v>
      </c>
      <c r="E121" s="16" t="s">
        <v>419</v>
      </c>
    </row>
    <row r="122" spans="1:5" ht="12.75">
      <c r="A122" s="12" t="s">
        <v>407</v>
      </c>
      <c r="B122" s="4" t="s">
        <v>119</v>
      </c>
      <c r="C122" s="4" t="s">
        <v>159</v>
      </c>
      <c r="D122" s="4" t="s">
        <v>268</v>
      </c>
      <c r="E122" s="16" t="s">
        <v>408</v>
      </c>
    </row>
    <row r="123" spans="1:5" ht="12.75">
      <c r="A123" s="12" t="s">
        <v>410</v>
      </c>
      <c r="B123" s="4" t="s">
        <v>409</v>
      </c>
      <c r="C123" s="4" t="s">
        <v>348</v>
      </c>
      <c r="D123" s="4" t="s">
        <v>267</v>
      </c>
      <c r="E123" s="16" t="s">
        <v>411</v>
      </c>
    </row>
    <row r="124" spans="1:5" ht="12.75">
      <c r="A124" s="12" t="s">
        <v>415</v>
      </c>
      <c r="B124" s="4" t="s">
        <v>414</v>
      </c>
      <c r="C124" s="4" t="s">
        <v>348</v>
      </c>
      <c r="D124" s="4" t="s">
        <v>273</v>
      </c>
      <c r="E124" s="16" t="s">
        <v>416</v>
      </c>
    </row>
    <row r="125" spans="1:5" ht="12.75">
      <c r="A125" s="12" t="s">
        <v>412</v>
      </c>
      <c r="B125" s="4" t="s">
        <v>409</v>
      </c>
      <c r="C125" s="4" t="s">
        <v>348</v>
      </c>
      <c r="D125" s="4" t="s">
        <v>256</v>
      </c>
      <c r="E125" s="16" t="s">
        <v>413</v>
      </c>
    </row>
    <row r="126" spans="1:5" ht="12.75">
      <c r="A126" s="12" t="s">
        <v>420</v>
      </c>
      <c r="B126" s="4" t="s">
        <v>417</v>
      </c>
      <c r="C126" s="4" t="s">
        <v>389</v>
      </c>
      <c r="D126" s="4" t="s">
        <v>348</v>
      </c>
      <c r="E126" s="16" t="s">
        <v>421</v>
      </c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</sheetData>
  <sheetProtection/>
  <mergeCells count="23">
    <mergeCell ref="A65:L65"/>
    <mergeCell ref="A25:L25"/>
    <mergeCell ref="A31:L31"/>
    <mergeCell ref="A39:L39"/>
    <mergeCell ref="A48:L48"/>
    <mergeCell ref="A55:L55"/>
    <mergeCell ref="A60:L60"/>
    <mergeCell ref="A22:L2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14:L14"/>
    <mergeCell ref="A17:L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5">
      <selection activeCell="E51" sqref="E51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5" t="s">
        <v>422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4</v>
      </c>
      <c r="C3" s="53" t="s">
        <v>5</v>
      </c>
      <c r="D3" s="43" t="s">
        <v>195</v>
      </c>
      <c r="E3" s="43" t="s">
        <v>3</v>
      </c>
      <c r="F3" s="43" t="s">
        <v>6</v>
      </c>
      <c r="G3" s="43" t="s">
        <v>196</v>
      </c>
      <c r="H3" s="43"/>
      <c r="I3" s="43"/>
      <c r="J3" s="43"/>
      <c r="K3" s="43" t="s">
        <v>197</v>
      </c>
      <c r="L3" s="43" t="s">
        <v>2</v>
      </c>
      <c r="M3" s="54" t="s">
        <v>1</v>
      </c>
    </row>
    <row r="4" spans="1:13" s="1" customFormat="1" ht="26.25" customHeight="1" thickBot="1">
      <c r="A4" s="52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198</v>
      </c>
      <c r="K4" s="44"/>
      <c r="L4" s="44"/>
      <c r="M4" s="55"/>
    </row>
    <row r="5" spans="1:12" ht="15">
      <c r="A5" s="42" t="s">
        <v>219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7" t="s">
        <v>423</v>
      </c>
      <c r="B6" s="7" t="s">
        <v>424</v>
      </c>
      <c r="C6" s="7" t="s">
        <v>425</v>
      </c>
      <c r="D6" s="7" t="str">
        <f>"0,7471"</f>
        <v>0,7471</v>
      </c>
      <c r="E6" s="7" t="s">
        <v>14</v>
      </c>
      <c r="F6" s="7" t="s">
        <v>15</v>
      </c>
      <c r="G6" s="8" t="s">
        <v>348</v>
      </c>
      <c r="H6" s="32" t="s">
        <v>180</v>
      </c>
      <c r="I6" s="32" t="s">
        <v>238</v>
      </c>
      <c r="J6" s="32"/>
      <c r="K6" s="7" t="str">
        <f>"100,0"</f>
        <v>100,0</v>
      </c>
      <c r="L6" s="8" t="str">
        <f>"79,1926"</f>
        <v>79,1926</v>
      </c>
      <c r="M6" s="7" t="s">
        <v>18</v>
      </c>
    </row>
    <row r="8" spans="1:12" ht="15">
      <c r="A8" s="62" t="s">
        <v>155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3" ht="12.75">
      <c r="A9" s="7" t="s">
        <v>426</v>
      </c>
      <c r="B9" s="7" t="s">
        <v>427</v>
      </c>
      <c r="C9" s="7" t="s">
        <v>428</v>
      </c>
      <c r="D9" s="7" t="str">
        <f>"0,6376"</f>
        <v>0,6376</v>
      </c>
      <c r="E9" s="7" t="s">
        <v>14</v>
      </c>
      <c r="F9" s="7" t="s">
        <v>15</v>
      </c>
      <c r="G9" s="8" t="s">
        <v>247</v>
      </c>
      <c r="H9" s="32" t="s">
        <v>273</v>
      </c>
      <c r="I9" s="32" t="s">
        <v>248</v>
      </c>
      <c r="J9" s="32"/>
      <c r="K9" s="7" t="str">
        <f>"140,0"</f>
        <v>140,0</v>
      </c>
      <c r="L9" s="8" t="str">
        <f>"89,2640"</f>
        <v>89,2640</v>
      </c>
      <c r="M9" s="7" t="s">
        <v>18</v>
      </c>
    </row>
    <row r="11" spans="1:12" ht="15">
      <c r="A11" s="62" t="s">
        <v>184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3" ht="12.75">
      <c r="A12" s="20" t="s">
        <v>429</v>
      </c>
      <c r="B12" s="20" t="s">
        <v>430</v>
      </c>
      <c r="C12" s="20" t="s">
        <v>431</v>
      </c>
      <c r="D12" s="20" t="str">
        <f>"0,6022"</f>
        <v>0,6022</v>
      </c>
      <c r="E12" s="20" t="s">
        <v>14</v>
      </c>
      <c r="F12" s="20" t="s">
        <v>15</v>
      </c>
      <c r="G12" s="21" t="s">
        <v>432</v>
      </c>
      <c r="H12" s="29" t="s">
        <v>433</v>
      </c>
      <c r="I12" s="21" t="s">
        <v>433</v>
      </c>
      <c r="J12" s="29"/>
      <c r="K12" s="20" t="str">
        <f>"195,0"</f>
        <v>195,0</v>
      </c>
      <c r="L12" s="21" t="str">
        <f>"117,4290"</f>
        <v>117,4290</v>
      </c>
      <c r="M12" s="20" t="s">
        <v>18</v>
      </c>
    </row>
    <row r="13" spans="1:13" ht="12.75">
      <c r="A13" s="26" t="s">
        <v>429</v>
      </c>
      <c r="B13" s="26" t="s">
        <v>434</v>
      </c>
      <c r="C13" s="26" t="s">
        <v>431</v>
      </c>
      <c r="D13" s="26" t="str">
        <f>"0,6022"</f>
        <v>0,6022</v>
      </c>
      <c r="E13" s="26" t="s">
        <v>14</v>
      </c>
      <c r="F13" s="26" t="s">
        <v>15</v>
      </c>
      <c r="G13" s="27" t="s">
        <v>432</v>
      </c>
      <c r="H13" s="30" t="s">
        <v>433</v>
      </c>
      <c r="I13" s="27" t="s">
        <v>433</v>
      </c>
      <c r="J13" s="30"/>
      <c r="K13" s="26" t="str">
        <f>"195,0"</f>
        <v>195,0</v>
      </c>
      <c r="L13" s="27" t="str">
        <f>"117,7813"</f>
        <v>117,7813</v>
      </c>
      <c r="M13" s="26" t="s">
        <v>18</v>
      </c>
    </row>
    <row r="15" spans="1:12" ht="15">
      <c r="A15" s="62" t="s">
        <v>299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3" ht="12.75">
      <c r="A16" s="20" t="s">
        <v>435</v>
      </c>
      <c r="B16" s="20" t="s">
        <v>436</v>
      </c>
      <c r="C16" s="20" t="s">
        <v>437</v>
      </c>
      <c r="D16" s="20" t="str">
        <f>"0,5540"</f>
        <v>0,5540</v>
      </c>
      <c r="E16" s="20" t="s">
        <v>14</v>
      </c>
      <c r="F16" s="20" t="s">
        <v>15</v>
      </c>
      <c r="G16" s="29" t="s">
        <v>319</v>
      </c>
      <c r="H16" s="29" t="s">
        <v>319</v>
      </c>
      <c r="I16" s="29" t="s">
        <v>319</v>
      </c>
      <c r="J16" s="29"/>
      <c r="K16" s="20" t="str">
        <f>"0.00"</f>
        <v>0.00</v>
      </c>
      <c r="L16" s="21" t="str">
        <f>"0,0000"</f>
        <v>0,0000</v>
      </c>
      <c r="M16" s="20" t="s">
        <v>18</v>
      </c>
    </row>
    <row r="17" spans="1:13" ht="12.75">
      <c r="A17" s="26" t="s">
        <v>435</v>
      </c>
      <c r="B17" s="26" t="s">
        <v>438</v>
      </c>
      <c r="C17" s="26" t="s">
        <v>437</v>
      </c>
      <c r="D17" s="26" t="str">
        <f>"0,5540"</f>
        <v>0,5540</v>
      </c>
      <c r="E17" s="26" t="s">
        <v>14</v>
      </c>
      <c r="F17" s="26" t="s">
        <v>15</v>
      </c>
      <c r="G17" s="30" t="s">
        <v>319</v>
      </c>
      <c r="H17" s="30" t="s">
        <v>319</v>
      </c>
      <c r="I17" s="30" t="s">
        <v>319</v>
      </c>
      <c r="J17" s="30"/>
      <c r="K17" s="26" t="str">
        <f>"0.00"</f>
        <v>0.00</v>
      </c>
      <c r="L17" s="27" t="str">
        <f>"0,0000"</f>
        <v>0,0000</v>
      </c>
      <c r="M17" s="26" t="s">
        <v>18</v>
      </c>
    </row>
    <row r="19" spans="1:12" ht="15">
      <c r="A19" s="62" t="s">
        <v>164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3" ht="12.75">
      <c r="A20" s="20" t="s">
        <v>439</v>
      </c>
      <c r="B20" s="20" t="s">
        <v>440</v>
      </c>
      <c r="C20" s="20" t="s">
        <v>441</v>
      </c>
      <c r="D20" s="20" t="str">
        <f>"0,5450"</f>
        <v>0,5450</v>
      </c>
      <c r="E20" s="20" t="s">
        <v>14</v>
      </c>
      <c r="F20" s="20" t="s">
        <v>15</v>
      </c>
      <c r="G20" s="21" t="s">
        <v>442</v>
      </c>
      <c r="H20" s="21" t="s">
        <v>443</v>
      </c>
      <c r="I20" s="21" t="s">
        <v>329</v>
      </c>
      <c r="J20" s="29"/>
      <c r="K20" s="20" t="str">
        <f>"220,0"</f>
        <v>220,0</v>
      </c>
      <c r="L20" s="21" t="str">
        <f>"119,9000"</f>
        <v>119,9000</v>
      </c>
      <c r="M20" s="20" t="s">
        <v>18</v>
      </c>
    </row>
    <row r="21" spans="1:13" ht="12.75">
      <c r="A21" s="26" t="s">
        <v>444</v>
      </c>
      <c r="B21" s="26" t="s">
        <v>445</v>
      </c>
      <c r="C21" s="26" t="s">
        <v>446</v>
      </c>
      <c r="D21" s="26" t="str">
        <f>"0,5431"</f>
        <v>0,5431</v>
      </c>
      <c r="E21" s="26" t="s">
        <v>14</v>
      </c>
      <c r="F21" s="26" t="s">
        <v>15</v>
      </c>
      <c r="G21" s="30" t="s">
        <v>433</v>
      </c>
      <c r="H21" s="27" t="s">
        <v>447</v>
      </c>
      <c r="I21" s="30" t="s">
        <v>448</v>
      </c>
      <c r="J21" s="30"/>
      <c r="K21" s="26" t="str">
        <f>"200,0"</f>
        <v>200,0</v>
      </c>
      <c r="L21" s="27" t="str">
        <f>"110,5752"</f>
        <v>110,5752</v>
      </c>
      <c r="M21" s="26" t="s">
        <v>18</v>
      </c>
    </row>
    <row r="23" spans="1:12" ht="15">
      <c r="A23" s="62" t="s">
        <v>449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3" ht="12.75">
      <c r="A24" s="20" t="s">
        <v>450</v>
      </c>
      <c r="B24" s="20" t="s">
        <v>451</v>
      </c>
      <c r="C24" s="20" t="s">
        <v>452</v>
      </c>
      <c r="D24" s="20" t="str">
        <f>"0,5319"</f>
        <v>0,5319</v>
      </c>
      <c r="E24" s="20" t="s">
        <v>14</v>
      </c>
      <c r="F24" s="20" t="s">
        <v>15</v>
      </c>
      <c r="G24" s="21" t="s">
        <v>329</v>
      </c>
      <c r="H24" s="21" t="s">
        <v>453</v>
      </c>
      <c r="I24" s="29" t="s">
        <v>330</v>
      </c>
      <c r="J24" s="29"/>
      <c r="K24" s="20" t="str">
        <f>"225,0"</f>
        <v>225,0</v>
      </c>
      <c r="L24" s="21" t="str">
        <f>"119,6775"</f>
        <v>119,6775</v>
      </c>
      <c r="M24" s="20" t="s">
        <v>18</v>
      </c>
    </row>
    <row r="25" spans="1:13" ht="12.75">
      <c r="A25" s="23" t="s">
        <v>454</v>
      </c>
      <c r="B25" s="23" t="s">
        <v>455</v>
      </c>
      <c r="C25" s="23" t="s">
        <v>456</v>
      </c>
      <c r="D25" s="23" t="str">
        <f>"0,5279"</f>
        <v>0,5279</v>
      </c>
      <c r="E25" s="23" t="s">
        <v>14</v>
      </c>
      <c r="F25" s="23" t="s">
        <v>15</v>
      </c>
      <c r="G25" s="24" t="s">
        <v>263</v>
      </c>
      <c r="H25" s="31" t="s">
        <v>344</v>
      </c>
      <c r="I25" s="24" t="s">
        <v>344</v>
      </c>
      <c r="J25" s="31"/>
      <c r="K25" s="23" t="str">
        <f>"182,5"</f>
        <v>182,5</v>
      </c>
      <c r="L25" s="24" t="str">
        <f>"96,3417"</f>
        <v>96,3417</v>
      </c>
      <c r="M25" s="23" t="s">
        <v>18</v>
      </c>
    </row>
    <row r="26" spans="1:13" ht="12.75">
      <c r="A26" s="26" t="s">
        <v>457</v>
      </c>
      <c r="B26" s="26" t="s">
        <v>458</v>
      </c>
      <c r="C26" s="26" t="s">
        <v>459</v>
      </c>
      <c r="D26" s="26" t="str">
        <f>"0,5357"</f>
        <v>0,5357</v>
      </c>
      <c r="E26" s="26" t="s">
        <v>14</v>
      </c>
      <c r="F26" s="26" t="s">
        <v>15</v>
      </c>
      <c r="G26" s="27" t="s">
        <v>460</v>
      </c>
      <c r="H26" s="30" t="s">
        <v>432</v>
      </c>
      <c r="I26" s="30" t="s">
        <v>432</v>
      </c>
      <c r="J26" s="30"/>
      <c r="K26" s="26" t="str">
        <f>"180,0"</f>
        <v>180,0</v>
      </c>
      <c r="L26" s="27" t="str">
        <f>"96,4260"</f>
        <v>96,4260</v>
      </c>
      <c r="M26" s="26" t="s">
        <v>18</v>
      </c>
    </row>
    <row r="28" spans="1:12" ht="15">
      <c r="A28" s="62" t="s">
        <v>340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3" ht="12.75">
      <c r="A29" s="7" t="s">
        <v>461</v>
      </c>
      <c r="B29" s="7" t="s">
        <v>462</v>
      </c>
      <c r="C29" s="7" t="s">
        <v>463</v>
      </c>
      <c r="D29" s="7" t="str">
        <f>"0,4979"</f>
        <v>0,4979</v>
      </c>
      <c r="E29" s="7" t="s">
        <v>14</v>
      </c>
      <c r="F29" s="7" t="s">
        <v>15</v>
      </c>
      <c r="G29" s="32" t="s">
        <v>335</v>
      </c>
      <c r="H29" s="32" t="s">
        <v>335</v>
      </c>
      <c r="I29" s="32" t="s">
        <v>335</v>
      </c>
      <c r="J29" s="32"/>
      <c r="K29" s="7" t="str">
        <f>"0.00"</f>
        <v>0.00</v>
      </c>
      <c r="L29" s="8" t="str">
        <f>"0,0000"</f>
        <v>0,0000</v>
      </c>
      <c r="M29" s="7" t="s">
        <v>18</v>
      </c>
    </row>
    <row r="31" spans="5:6" ht="15">
      <c r="E31" s="9" t="s">
        <v>19</v>
      </c>
      <c r="F31" s="33" t="s">
        <v>743</v>
      </c>
    </row>
    <row r="32" spans="5:6" ht="15">
      <c r="E32" s="9" t="s">
        <v>20</v>
      </c>
      <c r="F32" s="33" t="s">
        <v>744</v>
      </c>
    </row>
    <row r="33" spans="5:6" ht="15">
      <c r="E33" s="9" t="s">
        <v>21</v>
      </c>
      <c r="F33" s="33" t="s">
        <v>743</v>
      </c>
    </row>
    <row r="34" spans="5:6" ht="15">
      <c r="E34" s="9" t="s">
        <v>22</v>
      </c>
      <c r="F34" s="33" t="s">
        <v>690</v>
      </c>
    </row>
    <row r="35" spans="5:6" ht="15">
      <c r="E35" s="9" t="s">
        <v>22</v>
      </c>
      <c r="F35" s="33" t="s">
        <v>376</v>
      </c>
    </row>
    <row r="36" spans="5:6" ht="15">
      <c r="E36" s="9" t="s">
        <v>23</v>
      </c>
      <c r="F36" s="33" t="s">
        <v>359</v>
      </c>
    </row>
    <row r="37" ht="15">
      <c r="E37" s="9"/>
    </row>
    <row r="39" spans="1:2" ht="18">
      <c r="A39" s="10" t="s">
        <v>24</v>
      </c>
      <c r="B39" s="10"/>
    </row>
    <row r="40" spans="1:2" ht="15">
      <c r="A40" s="11" t="s">
        <v>80</v>
      </c>
      <c r="B40" s="11"/>
    </row>
    <row r="41" spans="1:2" ht="14.25">
      <c r="A41" s="13"/>
      <c r="B41" s="14" t="s">
        <v>349</v>
      </c>
    </row>
    <row r="42" spans="1:5" ht="15">
      <c r="A42" s="15" t="s">
        <v>27</v>
      </c>
      <c r="B42" s="15" t="s">
        <v>28</v>
      </c>
      <c r="C42" s="15" t="s">
        <v>29</v>
      </c>
      <c r="D42" s="15" t="s">
        <v>30</v>
      </c>
      <c r="E42" s="15" t="s">
        <v>350</v>
      </c>
    </row>
    <row r="43" spans="1:5" ht="12.75">
      <c r="A43" s="12" t="s">
        <v>464</v>
      </c>
      <c r="B43" s="4" t="s">
        <v>349</v>
      </c>
      <c r="C43" s="4" t="s">
        <v>228</v>
      </c>
      <c r="D43" s="4" t="s">
        <v>348</v>
      </c>
      <c r="E43" s="16" t="s">
        <v>465</v>
      </c>
    </row>
    <row r="45" spans="1:2" ht="14.25">
      <c r="A45" s="13"/>
      <c r="B45" s="14" t="s">
        <v>26</v>
      </c>
    </row>
    <row r="46" spans="1:5" ht="15">
      <c r="A46" s="15" t="s">
        <v>27</v>
      </c>
      <c r="B46" s="15" t="s">
        <v>28</v>
      </c>
      <c r="C46" s="15" t="s">
        <v>29</v>
      </c>
      <c r="D46" s="15" t="s">
        <v>30</v>
      </c>
      <c r="E46" s="15" t="s">
        <v>350</v>
      </c>
    </row>
    <row r="47" spans="1:5" ht="12.75">
      <c r="A47" s="12" t="s">
        <v>468</v>
      </c>
      <c r="B47" s="4" t="s">
        <v>26</v>
      </c>
      <c r="C47" s="4" t="s">
        <v>180</v>
      </c>
      <c r="D47" s="4" t="s">
        <v>329</v>
      </c>
      <c r="E47" s="16" t="s">
        <v>469</v>
      </c>
    </row>
    <row r="48" spans="1:5" ht="12.75">
      <c r="A48" s="12" t="s">
        <v>466</v>
      </c>
      <c r="B48" s="4" t="s">
        <v>26</v>
      </c>
      <c r="C48" s="4" t="s">
        <v>242</v>
      </c>
      <c r="D48" s="4" t="s">
        <v>453</v>
      </c>
      <c r="E48" s="16" t="s">
        <v>467</v>
      </c>
    </row>
    <row r="49" spans="1:5" ht="12.75">
      <c r="A49" s="12" t="s">
        <v>470</v>
      </c>
      <c r="B49" s="4" t="s">
        <v>26</v>
      </c>
      <c r="C49" s="4" t="s">
        <v>191</v>
      </c>
      <c r="D49" s="4" t="s">
        <v>433</v>
      </c>
      <c r="E49" s="16" t="s">
        <v>471</v>
      </c>
    </row>
    <row r="50" spans="1:5" ht="12.75">
      <c r="A50" s="12" t="s">
        <v>474</v>
      </c>
      <c r="B50" s="4" t="s">
        <v>26</v>
      </c>
      <c r="C50" s="4" t="s">
        <v>242</v>
      </c>
      <c r="D50" s="4" t="s">
        <v>460</v>
      </c>
      <c r="E50" s="16" t="s">
        <v>475</v>
      </c>
    </row>
    <row r="51" spans="1:5" ht="12.75">
      <c r="A51" s="12" t="s">
        <v>472</v>
      </c>
      <c r="B51" s="4" t="s">
        <v>26</v>
      </c>
      <c r="C51" s="4" t="s">
        <v>242</v>
      </c>
      <c r="D51" s="4" t="s">
        <v>344</v>
      </c>
      <c r="E51" s="16" t="s">
        <v>473</v>
      </c>
    </row>
    <row r="52" spans="1:5" ht="12.75">
      <c r="A52" s="12" t="s">
        <v>476</v>
      </c>
      <c r="B52" s="4" t="s">
        <v>26</v>
      </c>
      <c r="C52" s="4" t="s">
        <v>159</v>
      </c>
      <c r="D52" s="4" t="s">
        <v>247</v>
      </c>
      <c r="E52" s="16" t="s">
        <v>477</v>
      </c>
    </row>
    <row r="54" spans="1:2" ht="14.25">
      <c r="A54" s="13"/>
      <c r="B54" s="14" t="s">
        <v>119</v>
      </c>
    </row>
    <row r="55" spans="1:5" ht="15">
      <c r="A55" s="15" t="s">
        <v>27</v>
      </c>
      <c r="B55" s="15" t="s">
        <v>28</v>
      </c>
      <c r="C55" s="15" t="s">
        <v>29</v>
      </c>
      <c r="D55" s="15" t="s">
        <v>30</v>
      </c>
      <c r="E55" s="15" t="s">
        <v>350</v>
      </c>
    </row>
    <row r="56" spans="1:5" ht="12.75">
      <c r="A56" s="12" t="s">
        <v>478</v>
      </c>
      <c r="B56" s="4" t="s">
        <v>119</v>
      </c>
      <c r="C56" s="4" t="s">
        <v>180</v>
      </c>
      <c r="D56" s="4" t="s">
        <v>447</v>
      </c>
      <c r="E56" s="16" t="s">
        <v>479</v>
      </c>
    </row>
    <row r="57" spans="1:5" ht="12.75">
      <c r="A57" s="12" t="s">
        <v>470</v>
      </c>
      <c r="B57" s="4" t="s">
        <v>119</v>
      </c>
      <c r="C57" s="4" t="s">
        <v>191</v>
      </c>
      <c r="D57" s="4" t="s">
        <v>433</v>
      </c>
      <c r="E57" s="16" t="s">
        <v>480</v>
      </c>
    </row>
  </sheetData>
  <sheetProtection/>
  <mergeCells count="18">
    <mergeCell ref="A23:L23"/>
    <mergeCell ref="A28:L28"/>
    <mergeCell ref="M3:M4"/>
    <mergeCell ref="A5:L5"/>
    <mergeCell ref="A8:L8"/>
    <mergeCell ref="A11:L11"/>
    <mergeCell ref="A15:L15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64">
      <selection activeCell="F80" sqref="F80"/>
    </sheetView>
  </sheetViews>
  <sheetFormatPr defaultColWidth="9.125" defaultRowHeight="12.75"/>
  <cols>
    <col min="1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5" t="s">
        <v>481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1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4</v>
      </c>
      <c r="C3" s="53" t="s">
        <v>5</v>
      </c>
      <c r="D3" s="43" t="s">
        <v>195</v>
      </c>
      <c r="E3" s="43" t="s">
        <v>3</v>
      </c>
      <c r="F3" s="43" t="s">
        <v>6</v>
      </c>
      <c r="G3" s="43" t="s">
        <v>482</v>
      </c>
      <c r="H3" s="43"/>
      <c r="I3" s="43"/>
      <c r="J3" s="43"/>
      <c r="K3" s="43" t="s">
        <v>197</v>
      </c>
      <c r="L3" s="43" t="s">
        <v>2</v>
      </c>
      <c r="M3" s="54" t="s">
        <v>1</v>
      </c>
    </row>
    <row r="4" spans="1:13" s="1" customFormat="1" ht="21" customHeight="1" thickBot="1">
      <c r="A4" s="52"/>
      <c r="B4" s="44"/>
      <c r="C4" s="44"/>
      <c r="D4" s="44"/>
      <c r="E4" s="44"/>
      <c r="F4" s="44"/>
      <c r="G4" s="6">
        <v>1</v>
      </c>
      <c r="H4" s="6">
        <v>2</v>
      </c>
      <c r="I4" s="6">
        <v>3</v>
      </c>
      <c r="J4" s="6" t="s">
        <v>198</v>
      </c>
      <c r="K4" s="44"/>
      <c r="L4" s="44"/>
      <c r="M4" s="55"/>
    </row>
    <row r="5" spans="1:12" ht="15">
      <c r="A5" s="42" t="s">
        <v>138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20" t="s">
        <v>483</v>
      </c>
      <c r="B6" s="20" t="s">
        <v>484</v>
      </c>
      <c r="C6" s="20" t="s">
        <v>485</v>
      </c>
      <c r="D6" s="20" t="str">
        <f>"1,0539"</f>
        <v>1,0539</v>
      </c>
      <c r="E6" s="20" t="s">
        <v>14</v>
      </c>
      <c r="F6" s="20" t="s">
        <v>15</v>
      </c>
      <c r="G6" s="21" t="s">
        <v>486</v>
      </c>
      <c r="H6" s="21" t="s">
        <v>487</v>
      </c>
      <c r="I6" s="29" t="s">
        <v>191</v>
      </c>
      <c r="J6" s="29"/>
      <c r="K6" s="20" t="str">
        <f>"85,0"</f>
        <v>85,0</v>
      </c>
      <c r="L6" s="21" t="str">
        <f>"91,3731"</f>
        <v>91,3731</v>
      </c>
      <c r="M6" s="20" t="s">
        <v>18</v>
      </c>
    </row>
    <row r="7" spans="1:13" ht="12.75">
      <c r="A7" s="26" t="s">
        <v>483</v>
      </c>
      <c r="B7" s="26" t="s">
        <v>488</v>
      </c>
      <c r="C7" s="26" t="s">
        <v>485</v>
      </c>
      <c r="D7" s="26" t="str">
        <f>"1,0539"</f>
        <v>1,0539</v>
      </c>
      <c r="E7" s="26" t="s">
        <v>14</v>
      </c>
      <c r="F7" s="26" t="s">
        <v>15</v>
      </c>
      <c r="G7" s="27" t="s">
        <v>486</v>
      </c>
      <c r="H7" s="27" t="s">
        <v>487</v>
      </c>
      <c r="I7" s="30" t="s">
        <v>191</v>
      </c>
      <c r="J7" s="30"/>
      <c r="K7" s="26" t="str">
        <f>"85,0"</f>
        <v>85,0</v>
      </c>
      <c r="L7" s="27" t="str">
        <f>"89,5815"</f>
        <v>89,5815</v>
      </c>
      <c r="M7" s="26" t="s">
        <v>18</v>
      </c>
    </row>
    <row r="9" spans="1:12" ht="15">
      <c r="A9" s="62" t="s">
        <v>489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3" ht="12.75">
      <c r="A10" s="20" t="s">
        <v>490</v>
      </c>
      <c r="B10" s="20" t="s">
        <v>491</v>
      </c>
      <c r="C10" s="20" t="s">
        <v>492</v>
      </c>
      <c r="D10" s="20" t="str">
        <f>"0,9739"</f>
        <v>0,9739</v>
      </c>
      <c r="E10" s="20" t="s">
        <v>14</v>
      </c>
      <c r="F10" s="20" t="s">
        <v>15</v>
      </c>
      <c r="G10" s="21" t="s">
        <v>191</v>
      </c>
      <c r="H10" s="29" t="s">
        <v>493</v>
      </c>
      <c r="I10" s="29" t="s">
        <v>493</v>
      </c>
      <c r="J10" s="29"/>
      <c r="K10" s="20" t="str">
        <f>"90,0"</f>
        <v>90,0</v>
      </c>
      <c r="L10" s="21" t="str">
        <f>"94,6631"</f>
        <v>94,6631</v>
      </c>
      <c r="M10" s="20" t="s">
        <v>18</v>
      </c>
    </row>
    <row r="11" spans="1:13" ht="12.75">
      <c r="A11" s="23" t="s">
        <v>494</v>
      </c>
      <c r="B11" s="23" t="s">
        <v>495</v>
      </c>
      <c r="C11" s="23" t="s">
        <v>496</v>
      </c>
      <c r="D11" s="23" t="str">
        <f>"1,0016"</f>
        <v>1,0016</v>
      </c>
      <c r="E11" s="23" t="s">
        <v>14</v>
      </c>
      <c r="F11" s="23" t="s">
        <v>15</v>
      </c>
      <c r="G11" s="24" t="s">
        <v>497</v>
      </c>
      <c r="H11" s="24" t="s">
        <v>252</v>
      </c>
      <c r="I11" s="24" t="s">
        <v>180</v>
      </c>
      <c r="J11" s="31"/>
      <c r="K11" s="23" t="str">
        <f>"110,0"</f>
        <v>110,0</v>
      </c>
      <c r="L11" s="24" t="str">
        <f>"112,3795"</f>
        <v>112,3795</v>
      </c>
      <c r="M11" s="23" t="s">
        <v>18</v>
      </c>
    </row>
    <row r="12" spans="1:13" ht="12.75">
      <c r="A12" s="23" t="s">
        <v>498</v>
      </c>
      <c r="B12" s="23" t="s">
        <v>499</v>
      </c>
      <c r="C12" s="23" t="s">
        <v>500</v>
      </c>
      <c r="D12" s="23" t="str">
        <f>"0,9817"</f>
        <v>0,9817</v>
      </c>
      <c r="E12" s="23" t="s">
        <v>14</v>
      </c>
      <c r="F12" s="23" t="s">
        <v>15</v>
      </c>
      <c r="G12" s="24" t="s">
        <v>497</v>
      </c>
      <c r="H12" s="24" t="s">
        <v>180</v>
      </c>
      <c r="I12" s="24" t="s">
        <v>238</v>
      </c>
      <c r="J12" s="31"/>
      <c r="K12" s="23" t="str">
        <f>"115,0"</f>
        <v>115,0</v>
      </c>
      <c r="L12" s="24" t="str">
        <f>"112,8955"</f>
        <v>112,8955</v>
      </c>
      <c r="M12" s="23" t="s">
        <v>18</v>
      </c>
    </row>
    <row r="13" spans="1:13" ht="12.75">
      <c r="A13" s="23" t="s">
        <v>501</v>
      </c>
      <c r="B13" s="23" t="s">
        <v>502</v>
      </c>
      <c r="C13" s="23" t="s">
        <v>492</v>
      </c>
      <c r="D13" s="23" t="str">
        <f>"0,9739"</f>
        <v>0,9739</v>
      </c>
      <c r="E13" s="23" t="s">
        <v>14</v>
      </c>
      <c r="F13" s="23" t="s">
        <v>15</v>
      </c>
      <c r="G13" s="24" t="s">
        <v>191</v>
      </c>
      <c r="H13" s="31" t="s">
        <v>493</v>
      </c>
      <c r="I13" s="31" t="s">
        <v>493</v>
      </c>
      <c r="J13" s="31"/>
      <c r="K13" s="23" t="str">
        <f>"90,0"</f>
        <v>90,0</v>
      </c>
      <c r="L13" s="24" t="str">
        <f>"87,6510"</f>
        <v>87,6510</v>
      </c>
      <c r="M13" s="23" t="s">
        <v>18</v>
      </c>
    </row>
    <row r="14" spans="1:13" ht="12.75">
      <c r="A14" s="23" t="s">
        <v>503</v>
      </c>
      <c r="B14" s="23" t="s">
        <v>504</v>
      </c>
      <c r="C14" s="23" t="s">
        <v>505</v>
      </c>
      <c r="D14" s="23" t="str">
        <f>"0,9693"</f>
        <v>0,9693</v>
      </c>
      <c r="E14" s="23" t="s">
        <v>14</v>
      </c>
      <c r="F14" s="23" t="s">
        <v>15</v>
      </c>
      <c r="G14" s="24" t="s">
        <v>487</v>
      </c>
      <c r="H14" s="31" t="s">
        <v>191</v>
      </c>
      <c r="I14" s="31" t="s">
        <v>191</v>
      </c>
      <c r="J14" s="31"/>
      <c r="K14" s="23" t="str">
        <f>"85,0"</f>
        <v>85,0</v>
      </c>
      <c r="L14" s="24" t="str">
        <f>"82,3947"</f>
        <v>82,3947</v>
      </c>
      <c r="M14" s="23" t="s">
        <v>18</v>
      </c>
    </row>
    <row r="15" spans="1:13" ht="12.75">
      <c r="A15" s="26" t="s">
        <v>498</v>
      </c>
      <c r="B15" s="26" t="s">
        <v>506</v>
      </c>
      <c r="C15" s="26" t="s">
        <v>500</v>
      </c>
      <c r="D15" s="26" t="str">
        <f>"0,9817"</f>
        <v>0,9817</v>
      </c>
      <c r="E15" s="26" t="s">
        <v>14</v>
      </c>
      <c r="F15" s="26" t="s">
        <v>15</v>
      </c>
      <c r="G15" s="27" t="s">
        <v>497</v>
      </c>
      <c r="H15" s="27" t="s">
        <v>180</v>
      </c>
      <c r="I15" s="27" t="s">
        <v>238</v>
      </c>
      <c r="J15" s="30"/>
      <c r="K15" s="26" t="str">
        <f>"115,0"</f>
        <v>115,0</v>
      </c>
      <c r="L15" s="27" t="str">
        <f>"123,2819"</f>
        <v>123,2819</v>
      </c>
      <c r="M15" s="26" t="s">
        <v>18</v>
      </c>
    </row>
    <row r="17" spans="1:12" ht="15">
      <c r="A17" s="62" t="s">
        <v>205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3" ht="12.75">
      <c r="A18" s="20" t="s">
        <v>507</v>
      </c>
      <c r="B18" s="20" t="s">
        <v>212</v>
      </c>
      <c r="C18" s="20" t="s">
        <v>213</v>
      </c>
      <c r="D18" s="20" t="str">
        <f>"0,9133"</f>
        <v>0,9133</v>
      </c>
      <c r="E18" s="20" t="s">
        <v>14</v>
      </c>
      <c r="F18" s="20" t="s">
        <v>15</v>
      </c>
      <c r="G18" s="21" t="s">
        <v>306</v>
      </c>
      <c r="H18" s="29" t="s">
        <v>273</v>
      </c>
      <c r="I18" s="29" t="s">
        <v>273</v>
      </c>
      <c r="J18" s="29"/>
      <c r="K18" s="20" t="str">
        <f>"142,5"</f>
        <v>142,5</v>
      </c>
      <c r="L18" s="21" t="str">
        <f>"130,1452"</f>
        <v>130,1452</v>
      </c>
      <c r="M18" s="20" t="s">
        <v>18</v>
      </c>
    </row>
    <row r="19" spans="1:13" ht="12.75">
      <c r="A19" s="26" t="s">
        <v>508</v>
      </c>
      <c r="B19" s="26" t="s">
        <v>509</v>
      </c>
      <c r="C19" s="26" t="s">
        <v>510</v>
      </c>
      <c r="D19" s="26" t="str">
        <f>"0,9140"</f>
        <v>0,9140</v>
      </c>
      <c r="E19" s="26" t="s">
        <v>14</v>
      </c>
      <c r="F19" s="26" t="s">
        <v>15</v>
      </c>
      <c r="G19" s="27" t="s">
        <v>168</v>
      </c>
      <c r="H19" s="27" t="s">
        <v>238</v>
      </c>
      <c r="I19" s="30" t="s">
        <v>242</v>
      </c>
      <c r="J19" s="30"/>
      <c r="K19" s="26" t="str">
        <f>"115,0"</f>
        <v>115,0</v>
      </c>
      <c r="L19" s="27" t="str">
        <f>"105,1100"</f>
        <v>105,1100</v>
      </c>
      <c r="M19" s="26" t="s">
        <v>18</v>
      </c>
    </row>
    <row r="21" spans="1:12" ht="15">
      <c r="A21" s="62" t="s">
        <v>214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3" ht="12.75">
      <c r="A22" s="7" t="s">
        <v>511</v>
      </c>
      <c r="B22" s="7" t="s">
        <v>512</v>
      </c>
      <c r="C22" s="7" t="s">
        <v>513</v>
      </c>
      <c r="D22" s="7" t="str">
        <f>"0,8609"</f>
        <v>0,8609</v>
      </c>
      <c r="E22" s="7" t="s">
        <v>14</v>
      </c>
      <c r="F22" s="7" t="s">
        <v>15</v>
      </c>
      <c r="G22" s="8" t="s">
        <v>256</v>
      </c>
      <c r="H22" s="8" t="s">
        <v>247</v>
      </c>
      <c r="I22" s="8" t="s">
        <v>248</v>
      </c>
      <c r="J22" s="32"/>
      <c r="K22" s="7" t="str">
        <f>"150,0"</f>
        <v>150,0</v>
      </c>
      <c r="L22" s="8" t="str">
        <f>"131,7177"</f>
        <v>131,7177</v>
      </c>
      <c r="M22" s="7" t="s">
        <v>18</v>
      </c>
    </row>
    <row r="24" spans="1:12" ht="15">
      <c r="A24" s="62" t="s">
        <v>219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3" ht="12.75">
      <c r="A25" s="20" t="s">
        <v>514</v>
      </c>
      <c r="B25" s="20" t="s">
        <v>515</v>
      </c>
      <c r="C25" s="20" t="s">
        <v>516</v>
      </c>
      <c r="D25" s="20" t="str">
        <f>"0,7872"</f>
        <v>0,7872</v>
      </c>
      <c r="E25" s="20" t="s">
        <v>14</v>
      </c>
      <c r="F25" s="20" t="s">
        <v>15</v>
      </c>
      <c r="G25" s="21" t="s">
        <v>287</v>
      </c>
      <c r="H25" s="21" t="s">
        <v>517</v>
      </c>
      <c r="I25" s="29" t="s">
        <v>248</v>
      </c>
      <c r="J25" s="29"/>
      <c r="K25" s="20" t="str">
        <f>"142,0"</f>
        <v>142,0</v>
      </c>
      <c r="L25" s="21" t="str">
        <f>"111,7824"</f>
        <v>111,7824</v>
      </c>
      <c r="M25" s="20" t="s">
        <v>18</v>
      </c>
    </row>
    <row r="26" spans="1:13" ht="12.75">
      <c r="A26" s="23" t="s">
        <v>518</v>
      </c>
      <c r="B26" s="23" t="s">
        <v>519</v>
      </c>
      <c r="C26" s="23" t="s">
        <v>520</v>
      </c>
      <c r="D26" s="23" t="str">
        <f>"0,8432"</f>
        <v>0,8432</v>
      </c>
      <c r="E26" s="23" t="s">
        <v>14</v>
      </c>
      <c r="F26" s="23" t="s">
        <v>15</v>
      </c>
      <c r="G26" s="24" t="s">
        <v>287</v>
      </c>
      <c r="H26" s="24" t="s">
        <v>247</v>
      </c>
      <c r="I26" s="31" t="s">
        <v>273</v>
      </c>
      <c r="J26" s="31"/>
      <c r="K26" s="23" t="str">
        <f>"140,0"</f>
        <v>140,0</v>
      </c>
      <c r="L26" s="24" t="str">
        <f>"118,0550"</f>
        <v>118,0550</v>
      </c>
      <c r="M26" s="23" t="s">
        <v>18</v>
      </c>
    </row>
    <row r="27" spans="1:13" ht="12.75">
      <c r="A27" s="23" t="s">
        <v>521</v>
      </c>
      <c r="B27" s="23" t="s">
        <v>225</v>
      </c>
      <c r="C27" s="23" t="s">
        <v>226</v>
      </c>
      <c r="D27" s="23" t="str">
        <f>"0,8285"</f>
        <v>0,8285</v>
      </c>
      <c r="E27" s="23" t="s">
        <v>14</v>
      </c>
      <c r="F27" s="23" t="s">
        <v>15</v>
      </c>
      <c r="G27" s="24" t="s">
        <v>241</v>
      </c>
      <c r="H27" s="24" t="s">
        <v>256</v>
      </c>
      <c r="I27" s="31" t="s">
        <v>247</v>
      </c>
      <c r="J27" s="31"/>
      <c r="K27" s="23" t="str">
        <f>"130,0"</f>
        <v>130,0</v>
      </c>
      <c r="L27" s="24" t="str">
        <f>"107,7115"</f>
        <v>107,7115</v>
      </c>
      <c r="M27" s="23" t="s">
        <v>18</v>
      </c>
    </row>
    <row r="28" spans="1:13" ht="12.75">
      <c r="A28" s="23" t="s">
        <v>522</v>
      </c>
      <c r="B28" s="23" t="s">
        <v>523</v>
      </c>
      <c r="C28" s="23" t="s">
        <v>524</v>
      </c>
      <c r="D28" s="23" t="str">
        <f>"0,8058"</f>
        <v>0,8058</v>
      </c>
      <c r="E28" s="23" t="s">
        <v>14</v>
      </c>
      <c r="F28" s="23" t="s">
        <v>15</v>
      </c>
      <c r="G28" s="24" t="s">
        <v>348</v>
      </c>
      <c r="H28" s="24" t="s">
        <v>180</v>
      </c>
      <c r="I28" s="31" t="s">
        <v>241</v>
      </c>
      <c r="J28" s="31"/>
      <c r="K28" s="23" t="str">
        <f>"110,0"</f>
        <v>110,0</v>
      </c>
      <c r="L28" s="24" t="str">
        <f>"88,6325"</f>
        <v>88,6325</v>
      </c>
      <c r="M28" s="23" t="s">
        <v>18</v>
      </c>
    </row>
    <row r="29" spans="1:13" ht="12.75">
      <c r="A29" s="26" t="s">
        <v>224</v>
      </c>
      <c r="B29" s="26" t="s">
        <v>230</v>
      </c>
      <c r="C29" s="26" t="s">
        <v>226</v>
      </c>
      <c r="D29" s="26" t="str">
        <f>"0,8285"</f>
        <v>0,8285</v>
      </c>
      <c r="E29" s="26" t="s">
        <v>14</v>
      </c>
      <c r="F29" s="26" t="s">
        <v>15</v>
      </c>
      <c r="G29" s="27" t="s">
        <v>241</v>
      </c>
      <c r="H29" s="27" t="s">
        <v>256</v>
      </c>
      <c r="I29" s="30" t="s">
        <v>247</v>
      </c>
      <c r="J29" s="30"/>
      <c r="K29" s="26" t="str">
        <f>"130,0"</f>
        <v>130,0</v>
      </c>
      <c r="L29" s="27" t="str">
        <f>"109,6503"</f>
        <v>109,6503</v>
      </c>
      <c r="M29" s="26" t="s">
        <v>18</v>
      </c>
    </row>
    <row r="31" spans="1:12" ht="15">
      <c r="A31" s="62" t="s">
        <v>214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3" ht="12.75">
      <c r="A32" s="7" t="s">
        <v>525</v>
      </c>
      <c r="B32" s="7" t="s">
        <v>526</v>
      </c>
      <c r="C32" s="7" t="s">
        <v>527</v>
      </c>
      <c r="D32" s="7" t="str">
        <f>"0,8697"</f>
        <v>0,8697</v>
      </c>
      <c r="E32" s="7" t="s">
        <v>14</v>
      </c>
      <c r="F32" s="7" t="s">
        <v>15</v>
      </c>
      <c r="G32" s="8" t="s">
        <v>487</v>
      </c>
      <c r="H32" s="8" t="s">
        <v>528</v>
      </c>
      <c r="I32" s="8" t="s">
        <v>252</v>
      </c>
      <c r="J32" s="32"/>
      <c r="K32" s="7" t="str">
        <f>"105,0"</f>
        <v>105,0</v>
      </c>
      <c r="L32" s="8" t="str">
        <f>"107,7558"</f>
        <v>107,7558</v>
      </c>
      <c r="M32" s="7" t="s">
        <v>18</v>
      </c>
    </row>
    <row r="34" spans="1:12" ht="15">
      <c r="A34" s="62" t="s">
        <v>150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3" ht="12.75">
      <c r="A35" s="20" t="s">
        <v>529</v>
      </c>
      <c r="B35" s="20" t="s">
        <v>530</v>
      </c>
      <c r="C35" s="20" t="s">
        <v>531</v>
      </c>
      <c r="D35" s="20" t="str">
        <f>"0,6789"</f>
        <v>0,6789</v>
      </c>
      <c r="E35" s="20" t="s">
        <v>14</v>
      </c>
      <c r="F35" s="20" t="s">
        <v>15</v>
      </c>
      <c r="G35" s="21" t="s">
        <v>248</v>
      </c>
      <c r="H35" s="29" t="s">
        <v>276</v>
      </c>
      <c r="I35" s="29" t="s">
        <v>276</v>
      </c>
      <c r="J35" s="29"/>
      <c r="K35" s="20" t="str">
        <f>"150,0"</f>
        <v>150,0</v>
      </c>
      <c r="L35" s="21" t="str">
        <f>"109,9818"</f>
        <v>109,9818</v>
      </c>
      <c r="M35" s="20" t="s">
        <v>18</v>
      </c>
    </row>
    <row r="36" spans="1:13" ht="12.75">
      <c r="A36" s="23" t="s">
        <v>532</v>
      </c>
      <c r="B36" s="23" t="s">
        <v>533</v>
      </c>
      <c r="C36" s="23" t="s">
        <v>127</v>
      </c>
      <c r="D36" s="23" t="str">
        <f>"0,6694"</f>
        <v>0,6694</v>
      </c>
      <c r="E36" s="23" t="s">
        <v>14</v>
      </c>
      <c r="F36" s="23" t="s">
        <v>15</v>
      </c>
      <c r="G36" s="31" t="s">
        <v>432</v>
      </c>
      <c r="H36" s="24" t="s">
        <v>432</v>
      </c>
      <c r="I36" s="24" t="s">
        <v>448</v>
      </c>
      <c r="J36" s="31"/>
      <c r="K36" s="23" t="str">
        <f>"205,0"</f>
        <v>205,0</v>
      </c>
      <c r="L36" s="24" t="str">
        <f>"145,4606"</f>
        <v>145,4606</v>
      </c>
      <c r="M36" s="23" t="s">
        <v>18</v>
      </c>
    </row>
    <row r="37" spans="1:13" ht="12.75">
      <c r="A37" s="23" t="s">
        <v>534</v>
      </c>
      <c r="B37" s="23" t="s">
        <v>535</v>
      </c>
      <c r="C37" s="23" t="s">
        <v>536</v>
      </c>
      <c r="D37" s="23" t="str">
        <f>"0,6763"</f>
        <v>0,6763</v>
      </c>
      <c r="E37" s="23" t="s">
        <v>14</v>
      </c>
      <c r="F37" s="23" t="s">
        <v>15</v>
      </c>
      <c r="G37" s="24" t="s">
        <v>537</v>
      </c>
      <c r="H37" s="24" t="s">
        <v>538</v>
      </c>
      <c r="I37" s="31" t="s">
        <v>539</v>
      </c>
      <c r="J37" s="31"/>
      <c r="K37" s="23" t="str">
        <f>"270,0"</f>
        <v>270,0</v>
      </c>
      <c r="L37" s="24" t="str">
        <f>"186,2668"</f>
        <v>186,2668</v>
      </c>
      <c r="M37" s="23" t="s">
        <v>18</v>
      </c>
    </row>
    <row r="38" spans="1:13" ht="12.75">
      <c r="A38" s="23" t="s">
        <v>540</v>
      </c>
      <c r="B38" s="23" t="s">
        <v>541</v>
      </c>
      <c r="C38" s="23" t="s">
        <v>542</v>
      </c>
      <c r="D38" s="23" t="str">
        <f>"0,6687"</f>
        <v>0,6687</v>
      </c>
      <c r="E38" s="23" t="s">
        <v>14</v>
      </c>
      <c r="F38" s="23" t="s">
        <v>15</v>
      </c>
      <c r="G38" s="24" t="s">
        <v>248</v>
      </c>
      <c r="H38" s="24" t="s">
        <v>276</v>
      </c>
      <c r="I38" s="24" t="s">
        <v>262</v>
      </c>
      <c r="J38" s="31"/>
      <c r="K38" s="23" t="str">
        <f>"165,0"</f>
        <v>165,0</v>
      </c>
      <c r="L38" s="24" t="str">
        <f>"113,6456"</f>
        <v>113,6456</v>
      </c>
      <c r="M38" s="23" t="s">
        <v>18</v>
      </c>
    </row>
    <row r="39" spans="1:13" ht="12.75">
      <c r="A39" s="23" t="s">
        <v>534</v>
      </c>
      <c r="B39" s="23" t="s">
        <v>543</v>
      </c>
      <c r="C39" s="23" t="s">
        <v>536</v>
      </c>
      <c r="D39" s="23" t="str">
        <f>"0,6763"</f>
        <v>0,6763</v>
      </c>
      <c r="E39" s="23" t="s">
        <v>14</v>
      </c>
      <c r="F39" s="23" t="s">
        <v>15</v>
      </c>
      <c r="G39" s="24" t="s">
        <v>537</v>
      </c>
      <c r="H39" s="24" t="s">
        <v>538</v>
      </c>
      <c r="I39" s="31" t="s">
        <v>539</v>
      </c>
      <c r="J39" s="31"/>
      <c r="K39" s="23" t="str">
        <f>"270,0"</f>
        <v>270,0</v>
      </c>
      <c r="L39" s="24" t="str">
        <f>"182,6145"</f>
        <v>182,6145</v>
      </c>
      <c r="M39" s="23" t="s">
        <v>18</v>
      </c>
    </row>
    <row r="40" spans="1:13" ht="12.75">
      <c r="A40" s="23" t="s">
        <v>544</v>
      </c>
      <c r="B40" s="23" t="s">
        <v>545</v>
      </c>
      <c r="C40" s="23" t="s">
        <v>546</v>
      </c>
      <c r="D40" s="23" t="str">
        <f>"0,6716"</f>
        <v>0,6716</v>
      </c>
      <c r="E40" s="23" t="s">
        <v>14</v>
      </c>
      <c r="F40" s="23" t="s">
        <v>15</v>
      </c>
      <c r="G40" s="24" t="s">
        <v>433</v>
      </c>
      <c r="H40" s="24" t="s">
        <v>448</v>
      </c>
      <c r="I40" s="24" t="s">
        <v>442</v>
      </c>
      <c r="J40" s="31"/>
      <c r="K40" s="23" t="str">
        <f>"210,0"</f>
        <v>210,0</v>
      </c>
      <c r="L40" s="24" t="str">
        <f>"141,0360"</f>
        <v>141,0360</v>
      </c>
      <c r="M40" s="23" t="s">
        <v>18</v>
      </c>
    </row>
    <row r="41" spans="1:13" ht="12.75">
      <c r="A41" s="26" t="s">
        <v>547</v>
      </c>
      <c r="B41" s="26" t="s">
        <v>548</v>
      </c>
      <c r="C41" s="26" t="s">
        <v>549</v>
      </c>
      <c r="D41" s="26" t="str">
        <f>"0,6648"</f>
        <v>0,6648</v>
      </c>
      <c r="E41" s="26" t="s">
        <v>14</v>
      </c>
      <c r="F41" s="26" t="s">
        <v>15</v>
      </c>
      <c r="G41" s="27" t="s">
        <v>319</v>
      </c>
      <c r="H41" s="27" t="s">
        <v>433</v>
      </c>
      <c r="I41" s="27" t="s">
        <v>448</v>
      </c>
      <c r="J41" s="30"/>
      <c r="K41" s="26" t="str">
        <f>"205,0"</f>
        <v>205,0</v>
      </c>
      <c r="L41" s="27" t="str">
        <f>"136,2942"</f>
        <v>136,2942</v>
      </c>
      <c r="M41" s="26" t="s">
        <v>18</v>
      </c>
    </row>
    <row r="43" spans="1:12" ht="15">
      <c r="A43" s="62" t="s">
        <v>155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3" ht="12.75">
      <c r="A44" s="20" t="s">
        <v>550</v>
      </c>
      <c r="B44" s="20" t="s">
        <v>551</v>
      </c>
      <c r="C44" s="20" t="s">
        <v>552</v>
      </c>
      <c r="D44" s="20" t="str">
        <f>"0,6355"</f>
        <v>0,6355</v>
      </c>
      <c r="E44" s="20" t="s">
        <v>14</v>
      </c>
      <c r="F44" s="20" t="s">
        <v>15</v>
      </c>
      <c r="G44" s="29" t="s">
        <v>460</v>
      </c>
      <c r="H44" s="21" t="s">
        <v>460</v>
      </c>
      <c r="I44" s="29" t="s">
        <v>344</v>
      </c>
      <c r="J44" s="29"/>
      <c r="K44" s="20" t="str">
        <f>"180,0"</f>
        <v>180,0</v>
      </c>
      <c r="L44" s="21" t="str">
        <f>"118,9656"</f>
        <v>118,9656</v>
      </c>
      <c r="M44" s="20" t="s">
        <v>18</v>
      </c>
    </row>
    <row r="45" spans="1:13" ht="12.75">
      <c r="A45" s="23" t="s">
        <v>253</v>
      </c>
      <c r="B45" s="23" t="s">
        <v>254</v>
      </c>
      <c r="C45" s="23" t="s">
        <v>255</v>
      </c>
      <c r="D45" s="23" t="str">
        <f>"0,6290"</f>
        <v>0,6290</v>
      </c>
      <c r="E45" s="23" t="s">
        <v>14</v>
      </c>
      <c r="F45" s="23" t="s">
        <v>15</v>
      </c>
      <c r="G45" s="24" t="s">
        <v>447</v>
      </c>
      <c r="H45" s="24" t="s">
        <v>329</v>
      </c>
      <c r="I45" s="31" t="s">
        <v>453</v>
      </c>
      <c r="J45" s="31"/>
      <c r="K45" s="23" t="str">
        <f>"220,0"</f>
        <v>220,0</v>
      </c>
      <c r="L45" s="24" t="str">
        <f>"138,3800"</f>
        <v>138,3800</v>
      </c>
      <c r="M45" s="23" t="s">
        <v>18</v>
      </c>
    </row>
    <row r="46" spans="1:13" ht="12.75">
      <c r="A46" s="23" t="s">
        <v>553</v>
      </c>
      <c r="B46" s="23" t="s">
        <v>554</v>
      </c>
      <c r="C46" s="23" t="s">
        <v>555</v>
      </c>
      <c r="D46" s="23" t="str">
        <f>"0,6454"</f>
        <v>0,6454</v>
      </c>
      <c r="E46" s="23" t="s">
        <v>14</v>
      </c>
      <c r="F46" s="23" t="s">
        <v>15</v>
      </c>
      <c r="G46" s="24" t="s">
        <v>432</v>
      </c>
      <c r="H46" s="24" t="s">
        <v>556</v>
      </c>
      <c r="I46" s="31" t="s">
        <v>453</v>
      </c>
      <c r="J46" s="31"/>
      <c r="K46" s="23" t="str">
        <f>"217,5"</f>
        <v>217,5</v>
      </c>
      <c r="L46" s="24" t="str">
        <f>"143,1820"</f>
        <v>143,1820</v>
      </c>
      <c r="M46" s="23" t="s">
        <v>18</v>
      </c>
    </row>
    <row r="47" spans="1:13" ht="12.75">
      <c r="A47" s="23" t="s">
        <v>557</v>
      </c>
      <c r="B47" s="23" t="s">
        <v>558</v>
      </c>
      <c r="C47" s="23" t="s">
        <v>559</v>
      </c>
      <c r="D47" s="23" t="str">
        <f>"0,6195"</f>
        <v>0,6195</v>
      </c>
      <c r="E47" s="23" t="s">
        <v>14</v>
      </c>
      <c r="F47" s="23" t="s">
        <v>15</v>
      </c>
      <c r="G47" s="24" t="s">
        <v>442</v>
      </c>
      <c r="H47" s="31" t="s">
        <v>330</v>
      </c>
      <c r="I47" s="31" t="s">
        <v>330</v>
      </c>
      <c r="J47" s="31"/>
      <c r="K47" s="23" t="str">
        <f>"210,0"</f>
        <v>210,0</v>
      </c>
      <c r="L47" s="24" t="str">
        <f>"132,7076"</f>
        <v>132,7076</v>
      </c>
      <c r="M47" s="23" t="s">
        <v>18</v>
      </c>
    </row>
    <row r="48" spans="1:13" ht="12.75">
      <c r="A48" s="23" t="s">
        <v>560</v>
      </c>
      <c r="B48" s="23" t="s">
        <v>561</v>
      </c>
      <c r="C48" s="23" t="s">
        <v>562</v>
      </c>
      <c r="D48" s="23" t="str">
        <f>"0,6530"</f>
        <v>0,6530</v>
      </c>
      <c r="E48" s="23" t="s">
        <v>14</v>
      </c>
      <c r="F48" s="23" t="s">
        <v>15</v>
      </c>
      <c r="G48" s="31" t="s">
        <v>263</v>
      </c>
      <c r="H48" s="24" t="s">
        <v>263</v>
      </c>
      <c r="I48" s="31" t="s">
        <v>460</v>
      </c>
      <c r="J48" s="31"/>
      <c r="K48" s="23" t="str">
        <f>"170,0"</f>
        <v>170,0</v>
      </c>
      <c r="L48" s="24" t="str">
        <f>"112,1201"</f>
        <v>112,1201</v>
      </c>
      <c r="M48" s="23" t="s">
        <v>18</v>
      </c>
    </row>
    <row r="49" spans="1:13" ht="12.75">
      <c r="A49" s="23" t="s">
        <v>563</v>
      </c>
      <c r="B49" s="23" t="s">
        <v>261</v>
      </c>
      <c r="C49" s="23" t="s">
        <v>251</v>
      </c>
      <c r="D49" s="23" t="str">
        <f>"0,6251"</f>
        <v>0,6251</v>
      </c>
      <c r="E49" s="23" t="s">
        <v>14</v>
      </c>
      <c r="F49" s="23" t="s">
        <v>15</v>
      </c>
      <c r="G49" s="24" t="s">
        <v>564</v>
      </c>
      <c r="H49" s="31" t="s">
        <v>537</v>
      </c>
      <c r="I49" s="31" t="s">
        <v>537</v>
      </c>
      <c r="J49" s="31"/>
      <c r="K49" s="23" t="str">
        <f>"245,0"</f>
        <v>245,0</v>
      </c>
      <c r="L49" s="24" t="str">
        <f>"153,1495"</f>
        <v>153,1495</v>
      </c>
      <c r="M49" s="23" t="s">
        <v>18</v>
      </c>
    </row>
    <row r="50" spans="1:13" ht="12.75">
      <c r="A50" s="23" t="s">
        <v>565</v>
      </c>
      <c r="B50" s="23" t="s">
        <v>566</v>
      </c>
      <c r="C50" s="23" t="s">
        <v>567</v>
      </c>
      <c r="D50" s="23" t="str">
        <f>"0,6214"</f>
        <v>0,6214</v>
      </c>
      <c r="E50" s="23" t="s">
        <v>14</v>
      </c>
      <c r="F50" s="23" t="s">
        <v>15</v>
      </c>
      <c r="G50" s="24" t="s">
        <v>330</v>
      </c>
      <c r="H50" s="24" t="s">
        <v>568</v>
      </c>
      <c r="I50" s="31" t="s">
        <v>569</v>
      </c>
      <c r="J50" s="31"/>
      <c r="K50" s="23" t="str">
        <f>"240,0"</f>
        <v>240,0</v>
      </c>
      <c r="L50" s="24" t="str">
        <f>"149,1360"</f>
        <v>149,1360</v>
      </c>
      <c r="M50" s="23" t="s">
        <v>18</v>
      </c>
    </row>
    <row r="51" spans="1:13" ht="12.75">
      <c r="A51" s="23" t="s">
        <v>570</v>
      </c>
      <c r="B51" s="23" t="s">
        <v>571</v>
      </c>
      <c r="C51" s="23" t="s">
        <v>572</v>
      </c>
      <c r="D51" s="23" t="str">
        <f>"0,6473"</f>
        <v>0,6473</v>
      </c>
      <c r="E51" s="23" t="s">
        <v>14</v>
      </c>
      <c r="F51" s="23" t="s">
        <v>15</v>
      </c>
      <c r="G51" s="24" t="s">
        <v>329</v>
      </c>
      <c r="H51" s="31" t="s">
        <v>330</v>
      </c>
      <c r="I51" s="24" t="s">
        <v>330</v>
      </c>
      <c r="J51" s="31"/>
      <c r="K51" s="23" t="str">
        <f>"230,0"</f>
        <v>230,0</v>
      </c>
      <c r="L51" s="24" t="str">
        <f>"148,8790"</f>
        <v>148,8790</v>
      </c>
      <c r="M51" s="23" t="s">
        <v>18</v>
      </c>
    </row>
    <row r="52" spans="1:13" ht="12.75">
      <c r="A52" s="23" t="s">
        <v>573</v>
      </c>
      <c r="B52" s="23" t="s">
        <v>574</v>
      </c>
      <c r="C52" s="23" t="s">
        <v>575</v>
      </c>
      <c r="D52" s="23" t="str">
        <f>"0,6273"</f>
        <v>0,6273</v>
      </c>
      <c r="E52" s="23" t="s">
        <v>14</v>
      </c>
      <c r="F52" s="23" t="s">
        <v>15</v>
      </c>
      <c r="G52" s="24" t="s">
        <v>433</v>
      </c>
      <c r="H52" s="24" t="s">
        <v>576</v>
      </c>
      <c r="I52" s="31" t="s">
        <v>447</v>
      </c>
      <c r="J52" s="31"/>
      <c r="K52" s="23" t="str">
        <f>"197,5"</f>
        <v>197,5</v>
      </c>
      <c r="L52" s="24" t="str">
        <f>"125,0068"</f>
        <v>125,0068</v>
      </c>
      <c r="M52" s="23" t="s">
        <v>18</v>
      </c>
    </row>
    <row r="53" spans="1:13" ht="12.75">
      <c r="A53" s="26" t="s">
        <v>577</v>
      </c>
      <c r="B53" s="26" t="s">
        <v>78</v>
      </c>
      <c r="C53" s="26" t="s">
        <v>79</v>
      </c>
      <c r="D53" s="26" t="str">
        <f>"0,6318"</f>
        <v>0,6318</v>
      </c>
      <c r="E53" s="26" t="s">
        <v>14</v>
      </c>
      <c r="F53" s="26" t="s">
        <v>15</v>
      </c>
      <c r="G53" s="27" t="s">
        <v>578</v>
      </c>
      <c r="H53" s="30" t="s">
        <v>433</v>
      </c>
      <c r="I53" s="30" t="s">
        <v>433</v>
      </c>
      <c r="J53" s="30"/>
      <c r="K53" s="26" t="str">
        <f>"187,5"</f>
        <v>187,5</v>
      </c>
      <c r="L53" s="27" t="str">
        <f>"118,8179"</f>
        <v>118,8179</v>
      </c>
      <c r="M53" s="26" t="s">
        <v>18</v>
      </c>
    </row>
    <row r="55" spans="1:12" ht="15">
      <c r="A55" s="62" t="s">
        <v>184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3" ht="12.75">
      <c r="A56" s="20" t="s">
        <v>579</v>
      </c>
      <c r="B56" s="20" t="s">
        <v>580</v>
      </c>
      <c r="C56" s="20" t="s">
        <v>581</v>
      </c>
      <c r="D56" s="20" t="str">
        <f>"0,6004"</f>
        <v>0,6004</v>
      </c>
      <c r="E56" s="20" t="s">
        <v>14</v>
      </c>
      <c r="F56" s="20" t="s">
        <v>15</v>
      </c>
      <c r="G56" s="21" t="s">
        <v>442</v>
      </c>
      <c r="H56" s="21" t="s">
        <v>453</v>
      </c>
      <c r="I56" s="21" t="s">
        <v>331</v>
      </c>
      <c r="J56" s="29"/>
      <c r="K56" s="20" t="str">
        <f>"235,0"</f>
        <v>235,0</v>
      </c>
      <c r="L56" s="21" t="str">
        <f>"145,3268"</f>
        <v>145,3268</v>
      </c>
      <c r="M56" s="20" t="s">
        <v>18</v>
      </c>
    </row>
    <row r="57" spans="1:13" ht="12.75">
      <c r="A57" s="23" t="s">
        <v>582</v>
      </c>
      <c r="B57" s="23" t="s">
        <v>583</v>
      </c>
      <c r="C57" s="23" t="s">
        <v>584</v>
      </c>
      <c r="D57" s="23" t="str">
        <f>"0,6102"</f>
        <v>0,6102</v>
      </c>
      <c r="E57" s="23" t="s">
        <v>14</v>
      </c>
      <c r="F57" s="23" t="s">
        <v>15</v>
      </c>
      <c r="G57" s="24" t="s">
        <v>564</v>
      </c>
      <c r="H57" s="24" t="s">
        <v>585</v>
      </c>
      <c r="I57" s="24" t="s">
        <v>537</v>
      </c>
      <c r="J57" s="31"/>
      <c r="K57" s="23" t="str">
        <f>"255,0"</f>
        <v>255,0</v>
      </c>
      <c r="L57" s="24" t="str">
        <f>"155,6010"</f>
        <v>155,6010</v>
      </c>
      <c r="M57" s="23" t="s">
        <v>18</v>
      </c>
    </row>
    <row r="58" spans="1:13" ht="12.75">
      <c r="A58" s="23" t="s">
        <v>586</v>
      </c>
      <c r="B58" s="23" t="s">
        <v>587</v>
      </c>
      <c r="C58" s="23" t="s">
        <v>588</v>
      </c>
      <c r="D58" s="23" t="str">
        <f>"0,5991"</f>
        <v>0,5991</v>
      </c>
      <c r="E58" s="23" t="s">
        <v>14</v>
      </c>
      <c r="F58" s="23" t="s">
        <v>15</v>
      </c>
      <c r="G58" s="24" t="s">
        <v>447</v>
      </c>
      <c r="H58" s="24" t="s">
        <v>443</v>
      </c>
      <c r="I58" s="24" t="s">
        <v>453</v>
      </c>
      <c r="J58" s="31"/>
      <c r="K58" s="23" t="str">
        <f>"225,0"</f>
        <v>225,0</v>
      </c>
      <c r="L58" s="24" t="str">
        <f>"134,7975"</f>
        <v>134,7975</v>
      </c>
      <c r="M58" s="23" t="s">
        <v>18</v>
      </c>
    </row>
    <row r="59" spans="1:13" ht="12.75">
      <c r="A59" s="23" t="s">
        <v>589</v>
      </c>
      <c r="B59" s="23" t="s">
        <v>590</v>
      </c>
      <c r="C59" s="23" t="s">
        <v>591</v>
      </c>
      <c r="D59" s="23" t="str">
        <f>"0,5935"</f>
        <v>0,5935</v>
      </c>
      <c r="E59" s="23" t="s">
        <v>14</v>
      </c>
      <c r="F59" s="23" t="s">
        <v>15</v>
      </c>
      <c r="G59" s="24" t="s">
        <v>447</v>
      </c>
      <c r="H59" s="24" t="s">
        <v>453</v>
      </c>
      <c r="I59" s="31" t="s">
        <v>331</v>
      </c>
      <c r="J59" s="31"/>
      <c r="K59" s="23" t="str">
        <f>"225,0"</f>
        <v>225,0</v>
      </c>
      <c r="L59" s="24" t="str">
        <f>"133,5375"</f>
        <v>133,5375</v>
      </c>
      <c r="M59" s="23" t="s">
        <v>18</v>
      </c>
    </row>
    <row r="60" spans="1:13" ht="12.75">
      <c r="A60" s="26" t="s">
        <v>592</v>
      </c>
      <c r="B60" s="26" t="s">
        <v>593</v>
      </c>
      <c r="C60" s="26" t="s">
        <v>594</v>
      </c>
      <c r="D60" s="26" t="str">
        <f>"0,5887"</f>
        <v>0,5887</v>
      </c>
      <c r="E60" s="26" t="s">
        <v>14</v>
      </c>
      <c r="F60" s="26" t="s">
        <v>15</v>
      </c>
      <c r="G60" s="27" t="s">
        <v>447</v>
      </c>
      <c r="H60" s="30" t="s">
        <v>442</v>
      </c>
      <c r="I60" s="30" t="s">
        <v>442</v>
      </c>
      <c r="J60" s="30"/>
      <c r="K60" s="26" t="str">
        <f>"200,0"</f>
        <v>200,0</v>
      </c>
      <c r="L60" s="27" t="str">
        <f>"117,7400"</f>
        <v>117,7400</v>
      </c>
      <c r="M60" s="26" t="s">
        <v>18</v>
      </c>
    </row>
    <row r="62" spans="1:12" ht="15">
      <c r="A62" s="62" t="s">
        <v>299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3" ht="12.75">
      <c r="A63" s="20" t="s">
        <v>595</v>
      </c>
      <c r="B63" s="20" t="s">
        <v>596</v>
      </c>
      <c r="C63" s="20" t="s">
        <v>597</v>
      </c>
      <c r="D63" s="20" t="str">
        <f>"0,5744"</f>
        <v>0,5744</v>
      </c>
      <c r="E63" s="20" t="s">
        <v>14</v>
      </c>
      <c r="F63" s="20" t="s">
        <v>15</v>
      </c>
      <c r="G63" s="21" t="s">
        <v>538</v>
      </c>
      <c r="H63" s="29" t="s">
        <v>598</v>
      </c>
      <c r="I63" s="29" t="s">
        <v>598</v>
      </c>
      <c r="J63" s="29"/>
      <c r="K63" s="20" t="str">
        <f>"270,0"</f>
        <v>270,0</v>
      </c>
      <c r="L63" s="21" t="str">
        <f>"156,6389"</f>
        <v>156,6389</v>
      </c>
      <c r="M63" s="20" t="s">
        <v>18</v>
      </c>
    </row>
    <row r="64" spans="1:13" ht="12.75">
      <c r="A64" s="26" t="s">
        <v>599</v>
      </c>
      <c r="B64" s="26" t="s">
        <v>600</v>
      </c>
      <c r="C64" s="26" t="s">
        <v>601</v>
      </c>
      <c r="D64" s="26" t="str">
        <f>"0,5812"</f>
        <v>0,5812</v>
      </c>
      <c r="E64" s="26" t="s">
        <v>14</v>
      </c>
      <c r="F64" s="26" t="s">
        <v>15</v>
      </c>
      <c r="G64" s="27" t="s">
        <v>269</v>
      </c>
      <c r="H64" s="27" t="s">
        <v>319</v>
      </c>
      <c r="I64" s="27" t="s">
        <v>433</v>
      </c>
      <c r="J64" s="30"/>
      <c r="K64" s="26" t="str">
        <f>"195,0"</f>
        <v>195,0</v>
      </c>
      <c r="L64" s="27" t="str">
        <f>"116,7340"</f>
        <v>116,7340</v>
      </c>
      <c r="M64" s="26" t="s">
        <v>18</v>
      </c>
    </row>
    <row r="66" spans="1:12" ht="15">
      <c r="A66" s="62" t="s">
        <v>164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3" ht="12.75">
      <c r="A67" s="20" t="s">
        <v>602</v>
      </c>
      <c r="B67" s="20" t="s">
        <v>603</v>
      </c>
      <c r="C67" s="20" t="s">
        <v>604</v>
      </c>
      <c r="D67" s="20" t="str">
        <f>"0,5391"</f>
        <v>0,5391</v>
      </c>
      <c r="E67" s="20" t="s">
        <v>14</v>
      </c>
      <c r="F67" s="20" t="s">
        <v>15</v>
      </c>
      <c r="G67" s="21" t="s">
        <v>432</v>
      </c>
      <c r="H67" s="21" t="s">
        <v>447</v>
      </c>
      <c r="I67" s="21" t="s">
        <v>442</v>
      </c>
      <c r="J67" s="29"/>
      <c r="K67" s="20" t="str">
        <f>"210,0"</f>
        <v>210,0</v>
      </c>
      <c r="L67" s="21" t="str">
        <f>"113,2110"</f>
        <v>113,2110</v>
      </c>
      <c r="M67" s="20" t="s">
        <v>18</v>
      </c>
    </row>
    <row r="68" spans="1:13" ht="12.75">
      <c r="A68" s="23" t="s">
        <v>605</v>
      </c>
      <c r="B68" s="23" t="s">
        <v>606</v>
      </c>
      <c r="C68" s="23" t="s">
        <v>607</v>
      </c>
      <c r="D68" s="23" t="str">
        <f>"0,5386"</f>
        <v>0,5386</v>
      </c>
      <c r="E68" s="23" t="s">
        <v>14</v>
      </c>
      <c r="F68" s="23" t="s">
        <v>15</v>
      </c>
      <c r="G68" s="24" t="s">
        <v>568</v>
      </c>
      <c r="H68" s="24" t="s">
        <v>564</v>
      </c>
      <c r="I68" s="31" t="s">
        <v>585</v>
      </c>
      <c r="J68" s="31"/>
      <c r="K68" s="23" t="str">
        <f>"245,0"</f>
        <v>245,0</v>
      </c>
      <c r="L68" s="24" t="str">
        <f>"131,9570"</f>
        <v>131,9570</v>
      </c>
      <c r="M68" s="23" t="s">
        <v>18</v>
      </c>
    </row>
    <row r="69" spans="1:13" ht="12.75">
      <c r="A69" s="23" t="s">
        <v>608</v>
      </c>
      <c r="B69" s="23" t="s">
        <v>609</v>
      </c>
      <c r="C69" s="23" t="s">
        <v>610</v>
      </c>
      <c r="D69" s="23" t="str">
        <f>"0,5371"</f>
        <v>0,5371</v>
      </c>
      <c r="E69" s="23" t="s">
        <v>14</v>
      </c>
      <c r="F69" s="23" t="s">
        <v>15</v>
      </c>
      <c r="G69" s="24" t="s">
        <v>330</v>
      </c>
      <c r="H69" s="24" t="s">
        <v>611</v>
      </c>
      <c r="I69" s="31" t="s">
        <v>564</v>
      </c>
      <c r="J69" s="31"/>
      <c r="K69" s="23" t="str">
        <f>"242,5"</f>
        <v>242,5</v>
      </c>
      <c r="L69" s="24" t="str">
        <f>"130,2468"</f>
        <v>130,2468</v>
      </c>
      <c r="M69" s="23" t="s">
        <v>18</v>
      </c>
    </row>
    <row r="70" spans="1:13" ht="12.75">
      <c r="A70" s="23" t="s">
        <v>612</v>
      </c>
      <c r="B70" s="23" t="s">
        <v>613</v>
      </c>
      <c r="C70" s="23" t="s">
        <v>614</v>
      </c>
      <c r="D70" s="23" t="str">
        <f>"0,5377"</f>
        <v>0,5377</v>
      </c>
      <c r="E70" s="23" t="s">
        <v>14</v>
      </c>
      <c r="F70" s="23" t="s">
        <v>15</v>
      </c>
      <c r="G70" s="24" t="s">
        <v>447</v>
      </c>
      <c r="H70" s="24" t="s">
        <v>442</v>
      </c>
      <c r="I70" s="24" t="s">
        <v>329</v>
      </c>
      <c r="J70" s="31"/>
      <c r="K70" s="23" t="str">
        <f>"220,0"</f>
        <v>220,0</v>
      </c>
      <c r="L70" s="24" t="str">
        <f>"118,2940"</f>
        <v>118,2940</v>
      </c>
      <c r="M70" s="23" t="s">
        <v>18</v>
      </c>
    </row>
    <row r="71" spans="1:13" ht="12.75">
      <c r="A71" s="26" t="s">
        <v>615</v>
      </c>
      <c r="B71" s="26" t="s">
        <v>616</v>
      </c>
      <c r="C71" s="26" t="s">
        <v>617</v>
      </c>
      <c r="D71" s="26" t="str">
        <f>"0,5452"</f>
        <v>0,5452</v>
      </c>
      <c r="E71" s="26" t="s">
        <v>14</v>
      </c>
      <c r="F71" s="26" t="s">
        <v>15</v>
      </c>
      <c r="G71" s="27" t="s">
        <v>319</v>
      </c>
      <c r="H71" s="30" t="s">
        <v>447</v>
      </c>
      <c r="I71" s="27" t="s">
        <v>447</v>
      </c>
      <c r="J71" s="30"/>
      <c r="K71" s="26" t="str">
        <f>"200,0"</f>
        <v>200,0</v>
      </c>
      <c r="L71" s="27" t="str">
        <f>"109,0400"</f>
        <v>109,0400</v>
      </c>
      <c r="M71" s="26" t="s">
        <v>18</v>
      </c>
    </row>
    <row r="73" spans="1:12" ht="15">
      <c r="A73" s="62" t="s">
        <v>449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3" ht="12.75">
      <c r="A74" s="7" t="s">
        <v>618</v>
      </c>
      <c r="B74" s="7" t="s">
        <v>619</v>
      </c>
      <c r="C74" s="7" t="s">
        <v>620</v>
      </c>
      <c r="D74" s="7" t="str">
        <f>"0,5217"</f>
        <v>0,5217</v>
      </c>
      <c r="E74" s="7" t="s">
        <v>14</v>
      </c>
      <c r="F74" s="7" t="s">
        <v>15</v>
      </c>
      <c r="G74" s="8" t="s">
        <v>330</v>
      </c>
      <c r="H74" s="8" t="s">
        <v>331</v>
      </c>
      <c r="I74" s="8" t="s">
        <v>568</v>
      </c>
      <c r="J74" s="32"/>
      <c r="K74" s="7" t="str">
        <f>"240,0"</f>
        <v>240,0</v>
      </c>
      <c r="L74" s="8" t="str">
        <f>"126,4601"</f>
        <v>126,4601</v>
      </c>
      <c r="M74" s="7" t="s">
        <v>18</v>
      </c>
    </row>
    <row r="76" spans="5:6" ht="15">
      <c r="E76" s="9" t="s">
        <v>19</v>
      </c>
      <c r="F76" s="33" t="s">
        <v>743</v>
      </c>
    </row>
    <row r="77" spans="5:6" ht="15">
      <c r="E77" s="9" t="s">
        <v>20</v>
      </c>
      <c r="F77" s="33" t="s">
        <v>744</v>
      </c>
    </row>
    <row r="78" spans="5:6" ht="15">
      <c r="E78" s="9" t="s">
        <v>21</v>
      </c>
      <c r="F78" s="33" t="s">
        <v>743</v>
      </c>
    </row>
    <row r="79" spans="5:6" ht="15">
      <c r="E79" s="9" t="s">
        <v>22</v>
      </c>
      <c r="F79" s="33" t="s">
        <v>690</v>
      </c>
    </row>
    <row r="80" spans="5:6" ht="15">
      <c r="E80" s="9" t="s">
        <v>22</v>
      </c>
      <c r="F80" s="33" t="s">
        <v>376</v>
      </c>
    </row>
    <row r="81" spans="5:6" ht="15">
      <c r="E81" s="9" t="s">
        <v>23</v>
      </c>
      <c r="F81" s="33" t="s">
        <v>359</v>
      </c>
    </row>
    <row r="82" ht="15">
      <c r="E82" s="9"/>
    </row>
    <row r="84" spans="1:2" ht="18">
      <c r="A84" s="10" t="s">
        <v>24</v>
      </c>
      <c r="B84" s="10"/>
    </row>
    <row r="85" spans="1:2" ht="15">
      <c r="A85" s="11" t="s">
        <v>25</v>
      </c>
      <c r="B85" s="11"/>
    </row>
    <row r="86" spans="1:2" ht="14.25">
      <c r="A86" s="13"/>
      <c r="B86" s="14" t="s">
        <v>26</v>
      </c>
    </row>
    <row r="87" spans="1:5" ht="15">
      <c r="A87" s="15" t="s">
        <v>27</v>
      </c>
      <c r="B87" s="15" t="s">
        <v>28</v>
      </c>
      <c r="C87" s="15" t="s">
        <v>29</v>
      </c>
      <c r="D87" s="15" t="s">
        <v>30</v>
      </c>
      <c r="E87" s="15" t="s">
        <v>350</v>
      </c>
    </row>
    <row r="88" spans="1:5" ht="12.75">
      <c r="A88" s="12" t="s">
        <v>357</v>
      </c>
      <c r="B88" s="4" t="s">
        <v>26</v>
      </c>
      <c r="C88" s="4" t="s">
        <v>66</v>
      </c>
      <c r="D88" s="4" t="s">
        <v>306</v>
      </c>
      <c r="E88" s="16" t="s">
        <v>626</v>
      </c>
    </row>
    <row r="89" spans="1:5" ht="12.75">
      <c r="A89" s="12" t="s">
        <v>623</v>
      </c>
      <c r="B89" s="4" t="s">
        <v>26</v>
      </c>
      <c r="C89" s="4" t="s">
        <v>208</v>
      </c>
      <c r="D89" s="4" t="s">
        <v>248</v>
      </c>
      <c r="E89" s="16" t="s">
        <v>722</v>
      </c>
    </row>
    <row r="90" spans="1:5" ht="12.75">
      <c r="A90" s="12" t="s">
        <v>629</v>
      </c>
      <c r="B90" s="4" t="s">
        <v>26</v>
      </c>
      <c r="C90" s="4" t="s">
        <v>228</v>
      </c>
      <c r="D90" s="4" t="s">
        <v>247</v>
      </c>
      <c r="E90" s="16" t="s">
        <v>630</v>
      </c>
    </row>
    <row r="91" spans="1:5" ht="12.75">
      <c r="A91" s="12" t="s">
        <v>632</v>
      </c>
      <c r="B91" s="4" t="s">
        <v>26</v>
      </c>
      <c r="C91" s="4" t="s">
        <v>622</v>
      </c>
      <c r="D91" s="4" t="s">
        <v>238</v>
      </c>
      <c r="E91" s="16" t="s">
        <v>633</v>
      </c>
    </row>
    <row r="92" spans="1:5" ht="12.75">
      <c r="A92" s="12" t="s">
        <v>627</v>
      </c>
      <c r="B92" s="4" t="s">
        <v>26</v>
      </c>
      <c r="C92" s="4" t="s">
        <v>228</v>
      </c>
      <c r="D92" s="4" t="s">
        <v>517</v>
      </c>
      <c r="E92" s="16" t="s">
        <v>628</v>
      </c>
    </row>
    <row r="93" spans="1:5" ht="12.75">
      <c r="A93" s="12" t="s">
        <v>624</v>
      </c>
      <c r="B93" s="4" t="s">
        <v>26</v>
      </c>
      <c r="C93" s="4" t="s">
        <v>622</v>
      </c>
      <c r="D93" s="4" t="s">
        <v>180</v>
      </c>
      <c r="E93" s="16" t="s">
        <v>723</v>
      </c>
    </row>
    <row r="94" spans="1:5" ht="12.75">
      <c r="A94" s="12" t="s">
        <v>354</v>
      </c>
      <c r="B94" s="4" t="s">
        <v>26</v>
      </c>
      <c r="C94" s="4" t="s">
        <v>228</v>
      </c>
      <c r="D94" s="4" t="s">
        <v>256</v>
      </c>
      <c r="E94" s="16" t="s">
        <v>631</v>
      </c>
    </row>
    <row r="95" spans="1:5" ht="12.75">
      <c r="A95" s="12" t="s">
        <v>634</v>
      </c>
      <c r="B95" s="4" t="s">
        <v>26</v>
      </c>
      <c r="C95" s="4" t="s">
        <v>66</v>
      </c>
      <c r="D95" s="4" t="s">
        <v>238</v>
      </c>
      <c r="E95" s="16" t="s">
        <v>635</v>
      </c>
    </row>
    <row r="96" spans="1:5" ht="12.75">
      <c r="A96" s="12" t="s">
        <v>625</v>
      </c>
      <c r="B96" s="4" t="s">
        <v>26</v>
      </c>
      <c r="C96" s="4" t="s">
        <v>146</v>
      </c>
      <c r="D96" s="4" t="s">
        <v>487</v>
      </c>
      <c r="E96" s="16" t="s">
        <v>641</v>
      </c>
    </row>
    <row r="97" spans="1:5" ht="12.75">
      <c r="A97" s="12" t="s">
        <v>636</v>
      </c>
      <c r="B97" s="4" t="s">
        <v>26</v>
      </c>
      <c r="C97" s="4" t="s">
        <v>228</v>
      </c>
      <c r="D97" s="4" t="s">
        <v>180</v>
      </c>
      <c r="E97" s="16" t="s">
        <v>637</v>
      </c>
    </row>
    <row r="98" spans="1:5" ht="12.75">
      <c r="A98" s="12" t="s">
        <v>621</v>
      </c>
      <c r="B98" s="4" t="s">
        <v>26</v>
      </c>
      <c r="C98" s="4" t="s">
        <v>622</v>
      </c>
      <c r="D98" s="4" t="s">
        <v>191</v>
      </c>
      <c r="E98" s="16" t="s">
        <v>638</v>
      </c>
    </row>
    <row r="99" spans="1:5" ht="12.75">
      <c r="A99" s="12" t="s">
        <v>639</v>
      </c>
      <c r="B99" s="4" t="s">
        <v>26</v>
      </c>
      <c r="C99" s="4" t="s">
        <v>622</v>
      </c>
      <c r="D99" s="4" t="s">
        <v>487</v>
      </c>
      <c r="E99" s="16" t="s">
        <v>640</v>
      </c>
    </row>
    <row r="100" spans="1:5" ht="12.75">
      <c r="A100" s="3"/>
      <c r="B100" s="3"/>
      <c r="C100" s="3"/>
      <c r="D100" s="3"/>
      <c r="E100" s="3"/>
    </row>
    <row r="101" spans="1:2" ht="15">
      <c r="A101" s="11" t="s">
        <v>80</v>
      </c>
      <c r="B101" s="11"/>
    </row>
    <row r="102" spans="1:2" ht="14.25">
      <c r="A102" s="13"/>
      <c r="B102" s="14" t="s">
        <v>721</v>
      </c>
    </row>
    <row r="103" spans="1:5" ht="15">
      <c r="A103" s="15" t="s">
        <v>27</v>
      </c>
      <c r="B103" s="15" t="s">
        <v>28</v>
      </c>
      <c r="C103" s="15" t="s">
        <v>29</v>
      </c>
      <c r="D103" s="15" t="s">
        <v>30</v>
      </c>
      <c r="E103" s="15" t="s">
        <v>350</v>
      </c>
    </row>
    <row r="104" spans="1:5" ht="12.75">
      <c r="A104" s="12" t="s">
        <v>652</v>
      </c>
      <c r="B104" s="33" t="s">
        <v>724</v>
      </c>
      <c r="C104" s="4" t="s">
        <v>124</v>
      </c>
      <c r="D104" s="4" t="s">
        <v>538</v>
      </c>
      <c r="E104" s="16" t="s">
        <v>653</v>
      </c>
    </row>
    <row r="105" spans="1:5" ht="12.75">
      <c r="A105" s="12" t="s">
        <v>650</v>
      </c>
      <c r="B105" s="33" t="s">
        <v>724</v>
      </c>
      <c r="C105" s="4" t="s">
        <v>348</v>
      </c>
      <c r="D105" s="4" t="s">
        <v>538</v>
      </c>
      <c r="E105" s="16" t="s">
        <v>651</v>
      </c>
    </row>
    <row r="106" spans="1:5" ht="12.75">
      <c r="A106" s="12" t="s">
        <v>646</v>
      </c>
      <c r="B106" s="33" t="s">
        <v>724</v>
      </c>
      <c r="C106" s="4" t="s">
        <v>124</v>
      </c>
      <c r="D106" s="4" t="s">
        <v>448</v>
      </c>
      <c r="E106" s="16" t="s">
        <v>647</v>
      </c>
    </row>
    <row r="107" spans="1:5" ht="12.75">
      <c r="A107" s="12" t="s">
        <v>656</v>
      </c>
      <c r="B107" s="33" t="s">
        <v>724</v>
      </c>
      <c r="C107" s="4" t="s">
        <v>191</v>
      </c>
      <c r="D107" s="4" t="s">
        <v>331</v>
      </c>
      <c r="E107" s="16" t="s">
        <v>657</v>
      </c>
    </row>
    <row r="108" spans="1:5" ht="12.75">
      <c r="A108" s="12" t="s">
        <v>659</v>
      </c>
      <c r="B108" s="33" t="s">
        <v>724</v>
      </c>
      <c r="C108" s="4" t="s">
        <v>159</v>
      </c>
      <c r="D108" s="4" t="s">
        <v>556</v>
      </c>
      <c r="E108" s="16" t="s">
        <v>660</v>
      </c>
    </row>
    <row r="109" spans="1:5" ht="12.75">
      <c r="A109" s="12" t="s">
        <v>376</v>
      </c>
      <c r="B109" s="33" t="s">
        <v>724</v>
      </c>
      <c r="C109" s="4" t="s">
        <v>159</v>
      </c>
      <c r="D109" s="4" t="s">
        <v>329</v>
      </c>
      <c r="E109" s="16" t="s">
        <v>658</v>
      </c>
    </row>
    <row r="110" spans="1:5" ht="12.75">
      <c r="A110" s="12" t="s">
        <v>663</v>
      </c>
      <c r="B110" s="33" t="s">
        <v>724</v>
      </c>
      <c r="C110" s="4" t="s">
        <v>159</v>
      </c>
      <c r="D110" s="4" t="s">
        <v>442</v>
      </c>
      <c r="E110" s="16" t="s">
        <v>664</v>
      </c>
    </row>
    <row r="111" spans="1:5" ht="12.75">
      <c r="A111" s="12" t="s">
        <v>654</v>
      </c>
      <c r="B111" s="33" t="s">
        <v>724</v>
      </c>
      <c r="C111" s="4" t="s">
        <v>242</v>
      </c>
      <c r="D111" s="4" t="s">
        <v>568</v>
      </c>
      <c r="E111" s="16" t="s">
        <v>655</v>
      </c>
    </row>
    <row r="112" spans="1:5" ht="12.75">
      <c r="A112" s="12" t="s">
        <v>648</v>
      </c>
      <c r="B112" s="33" t="s">
        <v>724</v>
      </c>
      <c r="C112" s="4" t="s">
        <v>159</v>
      </c>
      <c r="D112" s="4" t="s">
        <v>460</v>
      </c>
      <c r="E112" s="16" t="s">
        <v>649</v>
      </c>
    </row>
    <row r="113" spans="1:5" ht="12.75">
      <c r="A113" s="12" t="s">
        <v>665</v>
      </c>
      <c r="B113" s="33" t="s">
        <v>724</v>
      </c>
      <c r="C113" s="4" t="s">
        <v>348</v>
      </c>
      <c r="D113" s="4" t="s">
        <v>433</v>
      </c>
      <c r="E113" s="16" t="s">
        <v>666</v>
      </c>
    </row>
    <row r="114" spans="1:5" ht="12.75">
      <c r="A114" s="12" t="s">
        <v>669</v>
      </c>
      <c r="B114" s="33" t="s">
        <v>724</v>
      </c>
      <c r="C114" s="4" t="s">
        <v>124</v>
      </c>
      <c r="D114" s="4" t="s">
        <v>262</v>
      </c>
      <c r="E114" s="16" t="s">
        <v>670</v>
      </c>
    </row>
    <row r="115" spans="1:5" ht="12.75">
      <c r="A115" s="12" t="s">
        <v>661</v>
      </c>
      <c r="B115" s="33" t="s">
        <v>724</v>
      </c>
      <c r="C115" s="4" t="s">
        <v>180</v>
      </c>
      <c r="D115" s="4" t="s">
        <v>442</v>
      </c>
      <c r="E115" s="16" t="s">
        <v>662</v>
      </c>
    </row>
    <row r="116" spans="1:5" ht="12.75">
      <c r="A116" s="12" t="s">
        <v>667</v>
      </c>
      <c r="B116" s="33" t="s">
        <v>724</v>
      </c>
      <c r="C116" s="4" t="s">
        <v>159</v>
      </c>
      <c r="D116" s="4" t="s">
        <v>263</v>
      </c>
      <c r="E116" s="16" t="s">
        <v>668</v>
      </c>
    </row>
    <row r="117" spans="1:5" ht="12.75">
      <c r="A117" s="12" t="s">
        <v>644</v>
      </c>
      <c r="B117" s="33" t="s">
        <v>724</v>
      </c>
      <c r="C117" s="4" t="s">
        <v>124</v>
      </c>
      <c r="D117" s="4" t="s">
        <v>248</v>
      </c>
      <c r="E117" s="16" t="s">
        <v>645</v>
      </c>
    </row>
    <row r="118" spans="1:5" ht="12.75">
      <c r="A118" s="12" t="s">
        <v>642</v>
      </c>
      <c r="B118" s="33" t="s">
        <v>724</v>
      </c>
      <c r="C118" s="4" t="s">
        <v>208</v>
      </c>
      <c r="D118" s="4" t="s">
        <v>252</v>
      </c>
      <c r="E118" s="16" t="s">
        <v>643</v>
      </c>
    </row>
    <row r="119" spans="1:5" ht="12.75">
      <c r="A119" s="3"/>
      <c r="B119" s="3"/>
      <c r="C119" s="3"/>
      <c r="D119" s="3"/>
      <c r="E119" s="3"/>
    </row>
    <row r="120" spans="1:2" ht="14.25">
      <c r="A120" s="13"/>
      <c r="B120" s="14" t="s">
        <v>26</v>
      </c>
    </row>
    <row r="121" spans="1:5" ht="15">
      <c r="A121" s="15" t="s">
        <v>27</v>
      </c>
      <c r="B121" s="15" t="s">
        <v>28</v>
      </c>
      <c r="C121" s="15" t="s">
        <v>29</v>
      </c>
      <c r="D121" s="15" t="s">
        <v>30</v>
      </c>
      <c r="E121" s="15" t="s">
        <v>350</v>
      </c>
    </row>
    <row r="122" spans="1:5" ht="12.75">
      <c r="A122" s="12" t="s">
        <v>652</v>
      </c>
      <c r="B122" s="4" t="s">
        <v>26</v>
      </c>
      <c r="C122" s="4" t="s">
        <v>124</v>
      </c>
      <c r="D122" s="4" t="s">
        <v>538</v>
      </c>
      <c r="E122" s="16" t="s">
        <v>671</v>
      </c>
    </row>
    <row r="123" spans="1:5" ht="12.75">
      <c r="A123" s="12" t="s">
        <v>672</v>
      </c>
      <c r="B123" s="4" t="s">
        <v>26</v>
      </c>
      <c r="C123" s="4" t="s">
        <v>191</v>
      </c>
      <c r="D123" s="4" t="s">
        <v>537</v>
      </c>
      <c r="E123" s="16" t="s">
        <v>673</v>
      </c>
    </row>
    <row r="124" spans="1:5" ht="12.75">
      <c r="A124" s="12" t="s">
        <v>676</v>
      </c>
      <c r="B124" s="4" t="s">
        <v>26</v>
      </c>
      <c r="C124" s="4" t="s">
        <v>159</v>
      </c>
      <c r="D124" s="4" t="s">
        <v>564</v>
      </c>
      <c r="E124" s="16" t="s">
        <v>677</v>
      </c>
    </row>
    <row r="125" spans="1:5" ht="12.75">
      <c r="A125" s="12" t="s">
        <v>680</v>
      </c>
      <c r="B125" s="4" t="s">
        <v>26</v>
      </c>
      <c r="C125" s="4" t="s">
        <v>159</v>
      </c>
      <c r="D125" s="4" t="s">
        <v>568</v>
      </c>
      <c r="E125" s="16" t="s">
        <v>681</v>
      </c>
    </row>
    <row r="126" spans="1:5" ht="12.75">
      <c r="A126" s="12" t="s">
        <v>682</v>
      </c>
      <c r="B126" s="4" t="s">
        <v>26</v>
      </c>
      <c r="C126" s="4" t="s">
        <v>159</v>
      </c>
      <c r="D126" s="4" t="s">
        <v>330</v>
      </c>
      <c r="E126" s="16" t="s">
        <v>683</v>
      </c>
    </row>
    <row r="127" spans="1:5" ht="12.75">
      <c r="A127" s="12" t="s">
        <v>690</v>
      </c>
      <c r="B127" s="4" t="s">
        <v>26</v>
      </c>
      <c r="C127" s="4" t="s">
        <v>124</v>
      </c>
      <c r="D127" s="4" t="s">
        <v>442</v>
      </c>
      <c r="E127" s="16" t="s">
        <v>691</v>
      </c>
    </row>
    <row r="128" spans="1:5" ht="12.75">
      <c r="A128" s="12" t="s">
        <v>692</v>
      </c>
      <c r="B128" s="4" t="s">
        <v>26</v>
      </c>
      <c r="C128" s="4" t="s">
        <v>124</v>
      </c>
      <c r="D128" s="4" t="s">
        <v>448</v>
      </c>
      <c r="E128" s="16" t="s">
        <v>693</v>
      </c>
    </row>
    <row r="129" spans="1:5" ht="12.75">
      <c r="A129" s="12" t="s">
        <v>684</v>
      </c>
      <c r="B129" s="4" t="s">
        <v>26</v>
      </c>
      <c r="C129" s="4" t="s">
        <v>191</v>
      </c>
      <c r="D129" s="4" t="s">
        <v>453</v>
      </c>
      <c r="E129" s="16" t="s">
        <v>685</v>
      </c>
    </row>
    <row r="130" spans="1:5" ht="12.75">
      <c r="A130" s="12" t="s">
        <v>686</v>
      </c>
      <c r="B130" s="4" t="s">
        <v>26</v>
      </c>
      <c r="C130" s="4" t="s">
        <v>191</v>
      </c>
      <c r="D130" s="4" t="s">
        <v>453</v>
      </c>
      <c r="E130" s="16" t="s">
        <v>687</v>
      </c>
    </row>
    <row r="131" spans="1:5" ht="12.75">
      <c r="A131" s="12" t="s">
        <v>674</v>
      </c>
      <c r="B131" s="4" t="s">
        <v>26</v>
      </c>
      <c r="C131" s="4" t="s">
        <v>180</v>
      </c>
      <c r="D131" s="4" t="s">
        <v>564</v>
      </c>
      <c r="E131" s="16" t="s">
        <v>675</v>
      </c>
    </row>
    <row r="132" spans="1:5" ht="12.75">
      <c r="A132" s="12" t="s">
        <v>678</v>
      </c>
      <c r="B132" s="4" t="s">
        <v>26</v>
      </c>
      <c r="C132" s="4" t="s">
        <v>180</v>
      </c>
      <c r="D132" s="4" t="s">
        <v>611</v>
      </c>
      <c r="E132" s="16" t="s">
        <v>679</v>
      </c>
    </row>
    <row r="133" spans="1:5" ht="12.75">
      <c r="A133" s="12" t="s">
        <v>688</v>
      </c>
      <c r="B133" s="4" t="s">
        <v>26</v>
      </c>
      <c r="C133" s="4" t="s">
        <v>180</v>
      </c>
      <c r="D133" s="4" t="s">
        <v>329</v>
      </c>
      <c r="E133" s="16" t="s">
        <v>689</v>
      </c>
    </row>
    <row r="134" spans="1:5" ht="12.75">
      <c r="A134" s="12" t="s">
        <v>694</v>
      </c>
      <c r="B134" s="4" t="s">
        <v>26</v>
      </c>
      <c r="C134" s="4" t="s">
        <v>191</v>
      </c>
      <c r="D134" s="4" t="s">
        <v>447</v>
      </c>
      <c r="E134" s="16" t="s">
        <v>695</v>
      </c>
    </row>
    <row r="135" spans="1:5" ht="12.75">
      <c r="A135" s="12" t="s">
        <v>696</v>
      </c>
      <c r="B135" s="4" t="s">
        <v>26</v>
      </c>
      <c r="C135" s="4" t="s">
        <v>180</v>
      </c>
      <c r="D135" s="4" t="s">
        <v>447</v>
      </c>
      <c r="E135" s="16" t="s">
        <v>697</v>
      </c>
    </row>
    <row r="137" spans="1:2" ht="14.25">
      <c r="A137" s="13"/>
      <c r="B137" s="14" t="s">
        <v>119</v>
      </c>
    </row>
    <row r="138" spans="1:5" ht="15">
      <c r="A138" s="15" t="s">
        <v>27</v>
      </c>
      <c r="B138" s="15" t="s">
        <v>28</v>
      </c>
      <c r="C138" s="15" t="s">
        <v>29</v>
      </c>
      <c r="D138" s="15" t="s">
        <v>30</v>
      </c>
      <c r="E138" s="15" t="s">
        <v>350</v>
      </c>
    </row>
    <row r="139" spans="1:5" ht="12.75">
      <c r="A139" s="12" t="s">
        <v>698</v>
      </c>
      <c r="B139" s="4" t="s">
        <v>119</v>
      </c>
      <c r="C139" s="4" t="s">
        <v>159</v>
      </c>
      <c r="D139" s="4" t="s">
        <v>576</v>
      </c>
      <c r="E139" s="16" t="s">
        <v>699</v>
      </c>
    </row>
    <row r="140" spans="1:5" ht="12.75">
      <c r="A140" s="12" t="s">
        <v>118</v>
      </c>
      <c r="B140" s="4" t="s">
        <v>119</v>
      </c>
      <c r="C140" s="4" t="s">
        <v>159</v>
      </c>
      <c r="D140" s="4" t="s">
        <v>578</v>
      </c>
      <c r="E140" s="16" t="s">
        <v>700</v>
      </c>
    </row>
  </sheetData>
  <sheetProtection/>
  <mergeCells count="23">
    <mergeCell ref="A73:L73"/>
    <mergeCell ref="A31:L31"/>
    <mergeCell ref="A34:L34"/>
    <mergeCell ref="A43:L43"/>
    <mergeCell ref="A55:L55"/>
    <mergeCell ref="A62:L62"/>
    <mergeCell ref="A66:L66"/>
    <mergeCell ref="A24:L2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17:L17"/>
    <mergeCell ref="A21:L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2018-12-05T13:37:40Z</dcterms:modified>
  <cp:category/>
  <cp:version/>
  <cp:contentType/>
  <cp:contentStatus/>
</cp:coreProperties>
</file>